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unzi\Desktop\Doc per Compliance\CV per incarichi da marzo2019_rev\"/>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1080" yWindow="460" windowWidth="29460" windowHeight="1818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rgb="FF000000"/>
            <rFont val="Tahoma"/>
            <family val="2"/>
          </rPr>
          <t>Indicare il proprio nome</t>
        </r>
      </text>
    </comment>
    <comment ref="D12" authorId="0" shapeId="0">
      <text>
        <r>
          <rPr>
            <sz val="9"/>
            <color rgb="FF000000"/>
            <rFont val="Tahoma"/>
            <family val="2"/>
          </rPr>
          <t>Indicare il proprio cognome</t>
        </r>
      </text>
    </comment>
    <comment ref="D13" authorId="0" shapeId="0">
      <text>
        <r>
          <rPr>
            <sz val="9"/>
            <color rgb="FF000000"/>
            <rFont val="Tahoma"/>
            <family val="2"/>
          </rPr>
          <t>Utilizzare la tendina per selezionare il proprio sesso</t>
        </r>
      </text>
    </comment>
    <comment ref="D15" authorId="0" shapeId="0">
      <text>
        <r>
          <rPr>
            <sz val="9"/>
            <color rgb="FF000000"/>
            <rFont val="Tahoma"/>
            <family val="2"/>
          </rPr>
          <t>Indicare lo Stato in cui si è nati</t>
        </r>
      </text>
    </comment>
    <comment ref="D16" authorId="0" shapeId="0">
      <text>
        <r>
          <rPr>
            <sz val="9"/>
            <color rgb="FF000000"/>
            <rFont val="Tahoma"/>
            <family val="2"/>
          </rPr>
          <t>Indicare il comune in cui si è nati</t>
        </r>
      </text>
    </comment>
    <comment ref="D17" authorId="0" shapeId="0">
      <text>
        <r>
          <rPr>
            <sz val="9"/>
            <color rgb="FF000000"/>
            <rFont val="Tahoma"/>
            <family val="2"/>
          </rPr>
          <t>Indicare la provincia in cui si è nati (per Stati esteri indicare "EE")</t>
        </r>
      </text>
    </comment>
    <comment ref="D18" authorId="0" shapeId="0">
      <text>
        <r>
          <rPr>
            <sz val="9"/>
            <color rgb="FF000000"/>
            <rFont val="Tahoma"/>
            <family val="2"/>
          </rPr>
          <t xml:space="preserve">Indicare la data di nascita utilizzando il formato </t>
        </r>
        <r>
          <rPr>
            <b/>
            <sz val="9"/>
            <color rgb="FF000000"/>
            <rFont val="Tahoma"/>
            <family val="2"/>
          </rPr>
          <t>gg/mm/aaaa</t>
        </r>
      </text>
    </comment>
    <comment ref="D20" authorId="0" shapeId="0">
      <text>
        <r>
          <rPr>
            <sz val="9"/>
            <color rgb="FF000000"/>
            <rFont val="Tahoma"/>
            <family val="2"/>
          </rPr>
          <t>Indicare l'indirizzo in cui si risiede</t>
        </r>
      </text>
    </comment>
    <comment ref="D21" authorId="0" shapeId="0">
      <text>
        <r>
          <rPr>
            <sz val="9"/>
            <color rgb="FF000000"/>
            <rFont val="Tahoma"/>
            <family val="2"/>
          </rPr>
          <t>Indicare il comune in cui si risiede</t>
        </r>
      </text>
    </comment>
    <comment ref="D22" authorId="0" shapeId="0">
      <text>
        <r>
          <rPr>
            <sz val="9"/>
            <color rgb="FF000000"/>
            <rFont val="Tahoma"/>
            <family val="2"/>
          </rPr>
          <t>Indicare il CAP del comune in cui si risiede</t>
        </r>
      </text>
    </comment>
    <comment ref="D23" authorId="0" shapeId="0">
      <text>
        <r>
          <rPr>
            <sz val="9"/>
            <color rgb="FF000000"/>
            <rFont val="Tahoma"/>
            <family val="2"/>
          </rPr>
          <t>Indicare la provincia in cui si risiede (per Stati esteri indicare "EE")</t>
        </r>
      </text>
    </comment>
    <comment ref="D25" authorId="0" shapeId="0">
      <text>
        <r>
          <rPr>
            <sz val="9"/>
            <color rgb="FF000000"/>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rgb="FF000000"/>
            <rFont val="Tahoma"/>
            <family val="2"/>
          </rPr>
          <t>Indicare il proprio codice fiscale personale</t>
        </r>
      </text>
    </comment>
    <comment ref="D31" authorId="0" shapeId="0">
      <text>
        <r>
          <rPr>
            <sz val="9"/>
            <color rgb="FF000000"/>
            <rFont val="Tahoma"/>
            <family val="2"/>
          </rPr>
          <t>Indicare la propria partita IVA, che deve essere attiva al momento della presentazione della domanda</t>
        </r>
      </text>
    </comment>
    <comment ref="D32" authorId="0" shapeId="0">
      <text>
        <r>
          <rPr>
            <sz val="9"/>
            <color rgb="FF000000"/>
            <rFont val="Tahoma"/>
            <family val="2"/>
          </rPr>
          <t>Se nella cella precedente si è indicata la partita IVA di ditte individuali, studi professionali associati o società tra professionisti, indicarne la denominazione</t>
        </r>
      </text>
    </comment>
    <comment ref="D34" authorId="0" shapeId="0">
      <text>
        <r>
          <rPr>
            <sz val="9"/>
            <color rgb="FF000000"/>
            <rFont val="Tahoma"/>
            <family val="2"/>
          </rPr>
          <t>Indicare il proprio numero di telefono</t>
        </r>
      </text>
    </comment>
    <comment ref="D35" authorId="0" shapeId="0">
      <text>
        <r>
          <rPr>
            <sz val="9"/>
            <color rgb="FF000000"/>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rgb="FF000000"/>
            <rFont val="Tahoma"/>
            <family val="2"/>
          </rPr>
          <t>Indicare il proprio indirizzo di posta elettronica</t>
        </r>
      </text>
    </comment>
    <comment ref="D38" authorId="0" shapeId="0">
      <text>
        <r>
          <rPr>
            <sz val="9"/>
            <color rgb="FF000000"/>
            <rFont val="Tahoma"/>
            <family val="2"/>
          </rPr>
          <t>Indicare il proprio indirizzo di Posta Elettronica Certificata (PEC)</t>
        </r>
      </text>
    </comment>
    <comment ref="D42" authorId="0" shapeId="0">
      <text>
        <r>
          <rPr>
            <sz val="9"/>
            <color rgb="FF000000"/>
            <rFont val="Tahoma"/>
            <family val="2"/>
          </rPr>
          <t>Indicare la propria lingua madre</t>
        </r>
      </text>
    </comment>
    <comment ref="D43" authorId="0" shapeId="0">
      <text>
        <r>
          <rPr>
            <sz val="9"/>
            <color rgb="FF000000"/>
            <rFont val="Tahoma"/>
            <family val="2"/>
          </rPr>
          <t>Indicare - se conosciuta - una prima lingua straniera</t>
        </r>
      </text>
    </comment>
    <comment ref="D44" authorId="0" shapeId="0">
      <text>
        <r>
          <rPr>
            <sz val="9"/>
            <color rgb="FF000000"/>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rgb="FF000000"/>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rgb="FF000000"/>
            <rFont val="Tahoma"/>
            <family val="2"/>
          </rPr>
          <t>Utilizzare la tendina per selezionare il livello di conoscenza della lingua eventualmente indicata nella cella precedente</t>
        </r>
      </text>
    </comment>
    <comment ref="D53" authorId="0" shapeId="0">
      <text>
        <r>
          <rPr>
            <sz val="9"/>
            <color rgb="FF000000"/>
            <rFont val="Tahoma"/>
            <family val="2"/>
          </rPr>
          <t>Utilizzare la tendina per selezionare la macro-area principale per cui ci si candida</t>
        </r>
      </text>
    </comment>
    <comment ref="D54" authorId="0" shapeId="0">
      <text>
        <r>
          <rPr>
            <sz val="9"/>
            <color rgb="FF000000"/>
            <rFont val="Tahoma"/>
            <family val="2"/>
          </rPr>
          <t>Utilizzare la tendina per selezionare, nell'ambito della macro-area principale scelta, la sotto-area principale per cui ci si candida</t>
        </r>
      </text>
    </comment>
    <comment ref="D55" authorId="0" shapeId="0">
      <text>
        <r>
          <rPr>
            <sz val="9"/>
            <color rgb="FF000000"/>
            <rFont val="Tahoma"/>
            <family val="2"/>
          </rPr>
          <t>Utilizzare la tendina per selezionare, nell'ambito della macro-area principale scelta, la sotto-area principale per cui ci si candida</t>
        </r>
      </text>
    </comment>
    <comment ref="D56" authorId="0" shapeId="0">
      <text>
        <r>
          <rPr>
            <sz val="9"/>
            <color rgb="FF000000"/>
            <rFont val="Tahoma"/>
            <family val="2"/>
          </rPr>
          <t>Utilizzare la tendina per selezionare, nell'ambito della macro-area principale scelta, la sotto-area principale per cui ci si candida</t>
        </r>
      </text>
    </comment>
    <comment ref="D58" authorId="0" shapeId="0">
      <text>
        <r>
          <rPr>
            <sz val="9"/>
            <color rgb="FF000000"/>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rgb="FF000000"/>
            <rFont val="Tahoma"/>
            <family val="2"/>
          </rPr>
          <t>Utilizzare la tendina per selezionare, nell'ambito della macro-area secondaria scelta, la sotto-area principale per cui ci si candida</t>
        </r>
      </text>
    </comment>
    <comment ref="D60" authorId="0" shapeId="0">
      <text>
        <r>
          <rPr>
            <sz val="9"/>
            <color rgb="FF000000"/>
            <rFont val="Tahoma"/>
            <family val="2"/>
          </rPr>
          <t>Se si vuole, utilizzare la tendina per selezionare, nell'ambito della macro-area secondaria scelta, la sotto-area secondaria per cui ci si candida</t>
        </r>
      </text>
    </comment>
    <comment ref="D61" authorId="0" shapeId="0">
      <text>
        <r>
          <rPr>
            <sz val="9"/>
            <color rgb="FF000000"/>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rgb="FF000000"/>
            <rFont val="Tahoma"/>
            <family val="2"/>
          </rPr>
          <t>Utilizzare la tendina per selezionare il tipo di laurea conseguita</t>
        </r>
      </text>
    </comment>
    <comment ref="D12" authorId="1" shapeId="0">
      <text>
        <r>
          <rPr>
            <sz val="9"/>
            <color rgb="FF000000"/>
            <rFont val="Tahoma"/>
            <family val="2"/>
          </rPr>
          <t>Indicare la materia in cui si è conseguita la laurea (p.e. Ingegneria Meccanica)</t>
        </r>
      </text>
    </comment>
    <comment ref="D13" authorId="1" shapeId="0">
      <text>
        <r>
          <rPr>
            <sz val="9"/>
            <color rgb="FF000000"/>
            <rFont val="Tahoma"/>
            <family val="2"/>
          </rPr>
          <t>Indicare l'anno di conseguimento della laurea</t>
        </r>
      </text>
    </comment>
    <comment ref="D14" authorId="1" shapeId="0">
      <text>
        <r>
          <rPr>
            <sz val="9"/>
            <color rgb="FF000000"/>
            <rFont val="Tahoma"/>
            <family val="2"/>
          </rPr>
          <t>Indicare l'Ateneo presso cui si è conseguita la laurea (p.e. Università degli Studi di Milano)</t>
        </r>
      </text>
    </comment>
    <comment ref="D15" authorId="1" shapeId="0">
      <text>
        <r>
          <rPr>
            <sz val="9"/>
            <color rgb="FF000000"/>
            <rFont val="Tahoma"/>
            <family val="2"/>
          </rPr>
          <t>Indicare il titolo della tesi di laurea</t>
        </r>
      </text>
    </comment>
    <comment ref="D16" authorId="1" shapeId="0">
      <text>
        <r>
          <rPr>
            <sz val="9"/>
            <color rgb="FF000000"/>
            <rFont val="Tahoma"/>
            <family val="2"/>
          </rPr>
          <t>Indicare il voto conseguito dando evidenza anche al punteggio massimo conseguibile (p.e. 105/110 o 110/110 e lode)</t>
        </r>
      </text>
    </comment>
    <comment ref="D18" authorId="1" shapeId="0">
      <text>
        <r>
          <rPr>
            <sz val="9"/>
            <color rgb="FF000000"/>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rgb="FF000000"/>
            <rFont val="Tahoma"/>
            <family val="2"/>
          </rPr>
          <t>Indicare l'Ateneo presso cui si è conseguita la laurea di primo livello (p.e. Università degli Studi di Milano)</t>
        </r>
      </text>
    </comment>
    <comment ref="D21" authorId="1" shapeId="0">
      <text>
        <r>
          <rPr>
            <sz val="9"/>
            <color rgb="FF000000"/>
            <rFont val="Tahoma"/>
            <family val="2"/>
          </rPr>
          <t>Indicare il titolo della tesi di laurea di primo livello</t>
        </r>
      </text>
    </comment>
    <comment ref="D23" authorId="1" shapeId="0">
      <text>
        <r>
          <rPr>
            <sz val="9"/>
            <color rgb="FF000000"/>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rgb="FF000000"/>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rgb="FF000000"/>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rgb="FF000000"/>
            <rFont val="Tahoma"/>
            <family val="2"/>
          </rPr>
          <t>Indicare la materia dell'eventuale dottorato conseguito (p.e. Ingegneria Meccanica)</t>
        </r>
      </text>
    </comment>
    <comment ref="D38" authorId="1" shapeId="0">
      <text>
        <r>
          <rPr>
            <sz val="9"/>
            <color rgb="FF000000"/>
            <rFont val="Tahoma"/>
            <family val="2"/>
          </rPr>
          <t>Indicare l'anno di conseguimento dell'eventuale dottorato</t>
        </r>
      </text>
    </comment>
    <comment ref="D39" authorId="1" shapeId="0">
      <text>
        <r>
          <rPr>
            <sz val="9"/>
            <color rgb="FF000000"/>
            <rFont val="Tahoma"/>
            <family val="2"/>
          </rPr>
          <t>Indicare l'Ateneo presso cui si è conseguito l'eventuale dottorato (p.e. Università degli Studi di Milano)</t>
        </r>
      </text>
    </comment>
    <comment ref="D40" authorId="1" shapeId="0">
      <text>
        <r>
          <rPr>
            <sz val="9"/>
            <color rgb="FF000000"/>
            <rFont val="Tahoma"/>
            <family val="2"/>
          </rPr>
          <t>Indicare il titolo dell'eventuale tesi di dottorato</t>
        </r>
      </text>
    </comment>
    <comment ref="D41" authorId="1" shapeId="0">
      <text>
        <r>
          <rPr>
            <sz val="9"/>
            <color rgb="FF000000"/>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rgb="FF000000"/>
            <rFont val="Tahoma"/>
            <family val="2"/>
          </rPr>
          <t xml:space="preserve">Indicare la data di inizio della collaborazione utilizzando il formato </t>
        </r>
        <r>
          <rPr>
            <b/>
            <sz val="9"/>
            <color rgb="FF000000"/>
            <rFont val="Tahoma"/>
            <family val="2"/>
          </rPr>
          <t>gg/mm/aaaa</t>
        </r>
      </text>
    </comment>
    <comment ref="D13" authorId="1" shapeId="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14" authorId="0" shapeId="0">
      <text>
        <r>
          <rPr>
            <sz val="9"/>
            <color rgb="FF000000"/>
            <rFont val="Tahoma"/>
            <family val="2"/>
          </rPr>
          <t>Indicare la denominazione del datore di lavoro/cliente</t>
        </r>
      </text>
    </comment>
    <comment ref="D15" authorId="0" shapeId="0">
      <text>
        <r>
          <rPr>
            <sz val="9"/>
            <color rgb="FF000000"/>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rgb="FF000000"/>
            <rFont val="Tahoma"/>
            <family val="2"/>
          </rPr>
          <t>Utilizzare la tendina per selezionare la macro-area di riferimento</t>
        </r>
      </text>
    </comment>
    <comment ref="D21" authorId="0" shapeId="0">
      <text>
        <r>
          <rPr>
            <sz val="9"/>
            <color rgb="FF000000"/>
            <rFont val="Tahoma"/>
            <family val="2"/>
          </rPr>
          <t>Indicare le attività svolte per il datore di lavoro/cliente</t>
        </r>
      </text>
    </comment>
    <comment ref="D22" authorId="0" shapeId="0">
      <text>
        <r>
          <rPr>
            <sz val="9"/>
            <color rgb="FF000000"/>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rgb="FF000000"/>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rgb="FF000000"/>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rgb="FF000000"/>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rgb="FF000000"/>
            <rFont val="Tahoma"/>
            <family val="2"/>
          </rPr>
          <t>Utilizzare la tendina per selezionare la macro-area di riferimento</t>
        </r>
      </text>
    </comment>
    <comment ref="D33" authorId="0" shapeId="0">
      <text>
        <r>
          <rPr>
            <sz val="9"/>
            <color rgb="FF000000"/>
            <rFont val="Tahoma"/>
            <family val="2"/>
          </rPr>
          <t>Indicare le attività svolte per il datore di lavoro/cliente</t>
        </r>
      </text>
    </comment>
    <comment ref="D34" authorId="0" shapeId="0">
      <text>
        <r>
          <rPr>
            <sz val="9"/>
            <color rgb="FF000000"/>
            <rFont val="Tahoma"/>
            <family val="2"/>
          </rPr>
          <t>Indicare le principali responsabilità affidate dal datore di lavoro/cliente</t>
        </r>
      </text>
    </comment>
    <comment ref="D36" authorId="1" shapeId="0">
      <text>
        <r>
          <rPr>
            <sz val="9"/>
            <color rgb="FF000000"/>
            <rFont val="Tahoma"/>
            <family val="2"/>
          </rPr>
          <t xml:space="preserve">Indicare la data di inizio della collaborazione utilizzando il formato </t>
        </r>
        <r>
          <rPr>
            <b/>
            <sz val="9"/>
            <color rgb="FF000000"/>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rgb="FF000000"/>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rgb="FF000000"/>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rgb="FF000000"/>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rgb="FF000000"/>
            <rFont val="Tahoma"/>
            <family val="2"/>
          </rPr>
          <t xml:space="preserve">Indicare la data di inizio della collaborazione utilizzando il formato </t>
        </r>
        <r>
          <rPr>
            <b/>
            <sz val="9"/>
            <color rgb="FF000000"/>
            <rFont val="Tahoma"/>
            <family val="2"/>
          </rPr>
          <t>gg/mm/aaaa</t>
        </r>
      </text>
    </comment>
    <comment ref="D85" authorId="1" shapeId="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rgb="FF000000"/>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rgb="FF000000"/>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rgb="FF000000"/>
            <rFont val="Tahoma"/>
            <family val="2"/>
          </rPr>
          <t>Indicare la denominazione dell'ente promotore del bando pubblico valutato (p.e. Regione Lombardia, Fondazione CARIPLO, MIUR, MISE, Governo francese, Commissione europea, etc.)</t>
        </r>
      </text>
    </comment>
    <comment ref="D13" authorId="0" shapeId="0">
      <text>
        <r>
          <rPr>
            <sz val="9"/>
            <color rgb="FF000000"/>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rgb="FF000000"/>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rgb="FF000000"/>
            <rFont val="Tahoma"/>
            <family val="2"/>
          </rPr>
          <t>Indicare l'anno di pubblicazione del bando pubblico valutato</t>
        </r>
      </text>
    </comment>
    <comment ref="D18" authorId="0" shapeId="0">
      <text>
        <r>
          <rPr>
            <sz val="9"/>
            <color rgb="FF000000"/>
            <rFont val="Tahoma"/>
            <family val="2"/>
          </rPr>
          <t>Utilizzare la tendina per selezionare il numero di progetti valutati nell'ambito del bando pubblico descritto</t>
        </r>
      </text>
    </comment>
    <comment ref="D19" authorId="0" shapeId="0">
      <text>
        <r>
          <rPr>
            <sz val="9"/>
            <color rgb="FF000000"/>
            <rFont val="Tahoma"/>
            <family val="2"/>
          </rPr>
          <t>Utilizzare la tendina per selezionare la classe di investimento medio dei progetti valutati nell'ambito del bando pubblico descritto</t>
        </r>
      </text>
    </comment>
    <comment ref="D21" authorId="0" shapeId="0">
      <text>
        <r>
          <rPr>
            <sz val="9"/>
            <color rgb="FF000000"/>
            <rFont val="Tahoma"/>
            <family val="2"/>
          </rPr>
          <t>Indicare la denominazione dell'ente promotore del bando pubblico valutato (p.e. Regione Lombardia, Fondazione CARIPLO, MIUR, MISE, Governo francese, Commissione europea, etc.)</t>
        </r>
      </text>
    </comment>
    <comment ref="D22" authorId="0" shapeId="0">
      <text>
        <r>
          <rPr>
            <sz val="9"/>
            <color rgb="FF000000"/>
            <rFont val="Tahoma"/>
            <family val="2"/>
          </rPr>
          <t>Utilizzare la tendina per selezionare l'ambito di rilevanza geografica del bando pubblico valutato</t>
        </r>
      </text>
    </comment>
    <comment ref="D23" authorId="0" shapeId="0">
      <text>
        <r>
          <rPr>
            <sz val="9"/>
            <color rgb="FF000000"/>
            <rFont val="Tahoma"/>
            <family val="2"/>
          </rPr>
          <t>Utilizzare la tendina per selezionare la tematica rilevante per il bando pubblico valutato</t>
        </r>
      </text>
    </comment>
    <comment ref="D24" authorId="0" shapeId="0">
      <text>
        <r>
          <rPr>
            <sz val="9"/>
            <color rgb="FF000000"/>
            <rFont val="Tahoma"/>
            <family val="2"/>
          </rPr>
          <t>Indicare i riferimenti relativi al bando pubblico valutato dando conto, anche, degli estremi di pubblicazione (p.e. GUUE, GURI, BURL, etc.)</t>
        </r>
      </text>
    </comment>
    <comment ref="D25" authorId="0" shapeId="0">
      <text>
        <r>
          <rPr>
            <sz val="9"/>
            <color rgb="FF000000"/>
            <rFont val="Tahoma"/>
            <family val="2"/>
          </rPr>
          <t>Descrivere sinteticamente gli obiettivi specifici del bando pubblico valutato</t>
        </r>
      </text>
    </comment>
    <comment ref="D26" authorId="0" shapeId="0">
      <text>
        <r>
          <rPr>
            <sz val="9"/>
            <color rgb="FF000000"/>
            <rFont val="Tahoma"/>
            <family val="2"/>
          </rPr>
          <t>Indicare l'anno di pubblicazione del bando pubblico valutato</t>
        </r>
      </text>
    </comment>
    <comment ref="D27" authorId="0" shapeId="0">
      <text>
        <r>
          <rPr>
            <sz val="9"/>
            <color rgb="FF000000"/>
            <rFont val="Tahoma"/>
            <family val="2"/>
          </rPr>
          <t>Utilizzare la tendina per selezionare il numero di progetti valutati nell'ambito del bando pubblico descritto</t>
        </r>
      </text>
    </comment>
    <comment ref="D28" authorId="0" shapeId="0">
      <text>
        <r>
          <rPr>
            <sz val="9"/>
            <color rgb="FF000000"/>
            <rFont val="Tahoma"/>
            <family val="2"/>
          </rPr>
          <t>Utilizzare la tendina per selezionare la classe di investimento medio dei progetti valutati nell'ambito del bando pubblico descritto</t>
        </r>
      </text>
    </comment>
    <comment ref="D30" authorId="0" shapeId="0">
      <text>
        <r>
          <rPr>
            <sz val="9"/>
            <color rgb="FF000000"/>
            <rFont val="Tahoma"/>
            <family val="2"/>
          </rPr>
          <t>Indicare la denominazione dell'ente promotore del bando pubblico valutato (p.e. Regione Lombardia, Fondazione CARIPLO, MIUR, MISE, Governo francese, Commissione europea, etc.)</t>
        </r>
      </text>
    </comment>
    <comment ref="D31" authorId="0" shapeId="0">
      <text>
        <r>
          <rPr>
            <sz val="9"/>
            <color rgb="FF000000"/>
            <rFont val="Tahoma"/>
            <family val="2"/>
          </rPr>
          <t>Utilizzare la tendina per selezionare l'ambito di rilevanza geografica del bando pubblico valutato</t>
        </r>
      </text>
    </comment>
    <comment ref="D32" authorId="0" shapeId="0">
      <text>
        <r>
          <rPr>
            <sz val="9"/>
            <color rgb="FF000000"/>
            <rFont val="Tahoma"/>
            <family val="2"/>
          </rPr>
          <t>Utilizzare la tendina per selezionare la tematica rilevante per il bando pubblico valutato</t>
        </r>
      </text>
    </comment>
    <comment ref="D33" authorId="0" shapeId="0">
      <text>
        <r>
          <rPr>
            <sz val="9"/>
            <color rgb="FF000000"/>
            <rFont val="Tahoma"/>
            <family val="2"/>
          </rPr>
          <t>Indicare i riferimenti relativi al bando pubblico valutato dando conto, anche, degli estremi di pubblicazione (p.e. GUUE, GURI, BURL, etc.)</t>
        </r>
      </text>
    </comment>
    <comment ref="D34" authorId="0" shapeId="0">
      <text>
        <r>
          <rPr>
            <sz val="9"/>
            <color rgb="FF000000"/>
            <rFont val="Tahoma"/>
            <family val="2"/>
          </rPr>
          <t>Descrivere sinteticamente gli obiettivi specifici del bando pubblico valutato</t>
        </r>
      </text>
    </comment>
    <comment ref="D35" authorId="0" shapeId="0">
      <text>
        <r>
          <rPr>
            <sz val="9"/>
            <color rgb="FF000000"/>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rgb="FF000000"/>
            <rFont val="Tahoma"/>
            <family val="2"/>
          </rPr>
          <t xml:space="preserve">Descrivere quanto richiesto mantenendosi </t>
        </r>
        <r>
          <rPr>
            <b/>
            <sz val="9"/>
            <color rgb="FF000000"/>
            <rFont val="Tahoma"/>
            <family val="2"/>
          </rPr>
          <t>tassativamente</t>
        </r>
        <r>
          <rPr>
            <sz val="9"/>
            <color rgb="FF000000"/>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rgb="FF000000"/>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rgb="FF000000"/>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rgb="FF000000"/>
            <rFont val="Tahoma"/>
            <family val="2"/>
          </rPr>
          <t>Campo a compilazione automatica</t>
        </r>
      </text>
    </comment>
    <comment ref="D35" authorId="0" shapeId="0">
      <text>
        <r>
          <rPr>
            <sz val="9"/>
            <color rgb="FF000000"/>
            <rFont val="Tahoma"/>
            <family val="2"/>
          </rPr>
          <t xml:space="preserve">Descrivere quanto richiesto mantenendosi </t>
        </r>
        <r>
          <rPr>
            <b/>
            <sz val="9"/>
            <color rgb="FF000000"/>
            <rFont val="Tahoma"/>
            <family val="2"/>
          </rPr>
          <t>tassativamente</t>
        </r>
        <r>
          <rPr>
            <sz val="9"/>
            <color rgb="FF000000"/>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rgb="FF000000"/>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rgb="FF000000"/>
            <rFont val="Tahoma"/>
            <family val="2"/>
          </rPr>
          <t xml:space="preserve">Descrivere quanto richiesto mantenendosi </t>
        </r>
        <r>
          <rPr>
            <b/>
            <sz val="9"/>
            <color rgb="FF000000"/>
            <rFont val="Tahoma"/>
            <family val="2"/>
          </rPr>
          <t>tassativamente</t>
        </r>
        <r>
          <rPr>
            <sz val="9"/>
            <color rgb="FF000000"/>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rgb="FF000000"/>
            <rFont val="Tahoma"/>
            <family val="2"/>
          </rPr>
          <t xml:space="preserve">Descrivere quanto richiesto mantenendosi </t>
        </r>
        <r>
          <rPr>
            <b/>
            <sz val="9"/>
            <color rgb="FF000000"/>
            <rFont val="Tahoma"/>
            <family val="2"/>
          </rPr>
          <t>tassativamente</t>
        </r>
        <r>
          <rPr>
            <sz val="9"/>
            <color rgb="FF000000"/>
            <rFont val="Tahoma"/>
            <family val="2"/>
          </rPr>
          <t xml:space="preserve"> entro lo spazio dato</t>
        </r>
      </text>
    </comment>
  </commentList>
</comments>
</file>

<file path=xl/sharedStrings.xml><?xml version="1.0" encoding="utf-8"?>
<sst xmlns="http://schemas.openxmlformats.org/spreadsheetml/2006/main" count="1013" uniqueCount="743">
  <si>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</si>
  <si>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</si>
  <si>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</si>
  <si>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</si>
  <si>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</si>
  <si>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</si>
  <si>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</si>
  <si>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</si>
  <si>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</si>
  <si>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</si>
  <si>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</si>
  <si>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</si>
  <si>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</si>
  <si>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</si>
  <si>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</si>
  <si>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</si>
  <si>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</si>
  <si>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</si>
  <si>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</si>
  <si>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</si>
  <si>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</si>
  <si>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</si>
  <si>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</si>
  <si>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</si>
  <si>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</si>
  <si>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</si>
  <si>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</si>
  <si>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</si>
  <si>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</si>
  <si>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</si>
  <si>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</si>
  <si>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</si>
  <si>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</si>
  <si>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</si>
  <si>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</si>
  <si>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</si>
  <si>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</si>
  <si>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</si>
  <si>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</si>
  <si>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</si>
  <si>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</si>
  <si>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</si>
  <si>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</si>
  <si>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</si>
  <si>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</si>
  <si>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</si>
  <si>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</si>
  <si>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</si>
  <si>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</si>
  <si>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</si>
  <si>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</si>
  <si>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</si>
  <si>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</si>
  <si>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</si>
  <si>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</si>
  <si>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</si>
  <si>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</si>
  <si>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</si>
  <si>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</si>
  <si>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</si>
  <si>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</si>
  <si>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</si>
  <si>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</si>
  <si>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</si>
  <si>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</si>
  <si>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</si>
  <si>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</si>
  <si>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</si>
  <si>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</si>
  <si>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</si>
  <si>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</si>
  <si>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</si>
  <si>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</si>
  <si>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</si>
  <si>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</si>
  <si>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</si>
  <si>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</si>
  <si>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</si>
  <si>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</si>
  <si>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</si>
  <si>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</si>
  <si>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</si>
  <si>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</si>
  <si>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</si>
  <si>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</si>
  <si>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</si>
  <si>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</si>
  <si>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</si>
  <si>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</si>
  <si>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</si>
  <si>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</si>
  <si>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</si>
  <si>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</si>
  <si>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</si>
  <si>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</si>
  <si>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</si>
  <si>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</si>
  <si>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</si>
  <si>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</si>
  <si>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</si>
  <si>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</si>
  <si>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</si>
  <si>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</si>
  <si>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</si>
  <si>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</si>
  <si>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</si>
  <si>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</si>
  <si>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</si>
  <si>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</si>
  <si>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</si>
  <si>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</si>
  <si>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</si>
  <si>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</si>
  <si>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</si>
  <si>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</si>
  <si>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</si>
  <si>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</si>
  <si>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</si>
  <si>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</si>
  <si>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</si>
  <si>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</si>
  <si>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</si>
  <si>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</si>
  <si>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</si>
  <si>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</si>
  <si>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</si>
  <si>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</si>
  <si>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</si>
  <si>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</si>
  <si>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</si>
  <si>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</si>
  <si>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</si>
  <si>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</si>
  <si>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</si>
  <si>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</si>
  <si>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</si>
  <si>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</si>
  <si>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</si>
  <si>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</si>
  <si>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</si>
  <si>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</si>
  <si>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</si>
  <si>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</si>
  <si>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</si>
  <si>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</si>
  <si>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</si>
  <si>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</si>
  <si>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</si>
  <si>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</si>
  <si>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</si>
  <si>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</si>
  <si>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</si>
  <si>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</si>
  <si>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</si>
  <si>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</si>
  <si>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</si>
  <si>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</si>
  <si>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</si>
  <si>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</si>
  <si>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</si>
  <si>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</si>
  <si>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</si>
  <si>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</si>
  <si>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</si>
  <si>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</si>
  <si>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</si>
  <si>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</si>
  <si>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</si>
  <si>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</si>
  <si>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</si>
  <si>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</si>
  <si>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</si>
  <si>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</si>
  <si>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</si>
  <si>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</si>
  <si>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</si>
  <si>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</si>
  <si>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</si>
  <si>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</si>
  <si>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</si>
  <si>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</si>
  <si>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</si>
  <si>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</si>
  <si>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</si>
  <si>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</si>
  <si>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</si>
  <si>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</si>
  <si>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</si>
  <si>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</si>
  <si>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</si>
  <si>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</si>
  <si>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</si>
  <si>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</si>
  <si>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</si>
  <si>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</si>
  <si>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</si>
  <si>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</si>
  <si>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</si>
  <si>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</si>
  <si>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</si>
  <si>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</si>
  <si>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</si>
  <si>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</si>
  <si>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</si>
  <si>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</si>
  <si>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</si>
  <si>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</si>
  <si>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</si>
  <si>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</si>
  <si>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</si>
  <si>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</si>
  <si>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</si>
  <si>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</si>
  <si>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</si>
  <si>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</si>
  <si>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</si>
  <si>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</si>
  <si>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</si>
  <si>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</si>
  <si>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</si>
  <si>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</si>
  <si>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</si>
  <si>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</si>
  <si>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</si>
  <si>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</si>
  <si>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</si>
  <si>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</si>
  <si>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</si>
  <si>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</si>
  <si>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</si>
  <si>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</si>
  <si>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</si>
  <si>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</si>
  <si>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</si>
  <si>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</si>
  <si>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</si>
  <si>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</si>
  <si>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</si>
  <si>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</si>
  <si>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</si>
  <si>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</si>
  <si>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</si>
  <si>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</si>
  <si>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</si>
  <si>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</si>
  <si>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</si>
  <si>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</si>
  <si>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</si>
  <si>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</si>
  <si>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</si>
  <si>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</si>
  <si>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</si>
  <si>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</si>
  <si>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</si>
  <si>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</si>
  <si>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</si>
  <si>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</si>
  <si>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</si>
  <si>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</si>
  <si>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</si>
  <si>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</si>
  <si>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</si>
  <si>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</si>
  <si>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</si>
  <si>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</si>
  <si>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</si>
  <si>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</si>
  <si>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</si>
  <si>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</si>
  <si>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</si>
  <si>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</si>
  <si>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</si>
  <si>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</si>
  <si>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</si>
  <si>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</si>
  <si>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</si>
  <si>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</si>
  <si>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</si>
  <si>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</si>
  <si>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</si>
  <si>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</si>
  <si>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</si>
  <si>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</si>
  <si>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</si>
  <si>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</si>
  <si>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</si>
  <si>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</si>
  <si>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</si>
  <si>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</si>
  <si>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</si>
  <si>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</si>
  <si>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</si>
  <si>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</si>
  <si>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</si>
  <si>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</si>
  <si>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</si>
  <si>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</si>
  <si>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</si>
  <si>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</si>
  <si>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</si>
  <si>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</si>
  <si>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</si>
  <si>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</si>
  <si>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</si>
  <si>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</si>
  <si>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</si>
  <si>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</si>
  <si>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</si>
  <si>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</si>
  <si>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</si>
  <si>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</si>
  <si>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</si>
  <si>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</si>
  <si>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</si>
  <si>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</si>
  <si>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</si>
  <si>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</si>
  <si>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</si>
  <si>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</si>
  <si>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</si>
  <si>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</si>
  <si>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</si>
  <si>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</si>
  <si>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</si>
  <si>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</si>
  <si>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</si>
  <si>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</si>
  <si>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</si>
  <si>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</si>
  <si>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</si>
  <si>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</si>
  <si>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</si>
  <si>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</si>
  <si>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</si>
  <si>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</si>
  <si>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</si>
  <si>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</si>
  <si>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</si>
  <si>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</si>
  <si>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</si>
  <si>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</si>
  <si>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</si>
  <si>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</si>
  <si>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</si>
  <si>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</si>
  <si>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</si>
  <si>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</si>
  <si>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</si>
  <si>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</si>
  <si>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</si>
  <si>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</si>
  <si>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</si>
  <si>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</si>
  <si>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</si>
  <si>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</si>
  <si>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</si>
  <si>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</si>
  <si>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</si>
  <si>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</si>
  <si>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</si>
  <si>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</si>
  <si>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</si>
  <si>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</si>
  <si>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</si>
  <si>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</si>
  <si>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</si>
  <si>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</si>
  <si>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</si>
  <si>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</si>
  <si>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</si>
  <si>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</si>
  <si>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</si>
  <si>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</si>
  <si>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</si>
  <si>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</si>
  <si>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</si>
  <si>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</si>
  <si>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</si>
  <si>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</si>
  <si>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</si>
  <si>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</si>
  <si>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</si>
  <si>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</si>
  <si>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</si>
  <si>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</si>
  <si>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</si>
  <si>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</si>
  <si>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</si>
  <si>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</si>
  <si>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</si>
  <si>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</si>
  <si>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</si>
  <si>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</si>
  <si>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</si>
  <si>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</si>
  <si>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</si>
  <si>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</si>
  <si>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</si>
  <si>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</si>
  <si>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</si>
  <si>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</si>
  <si>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</si>
  <si>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</si>
  <si>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</si>
  <si>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</si>
  <si>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</si>
  <si>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</si>
  <si>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</si>
  <si>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</si>
  <si>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</si>
  <si>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</si>
  <si>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</si>
  <si>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</si>
  <si>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</si>
  <si>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</si>
  <si>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</si>
  <si>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</si>
  <si>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</si>
  <si>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</si>
  <si>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</si>
  <si>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</si>
  <si>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</si>
  <si>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</si>
  <si>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</si>
  <si>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</si>
  <si>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</si>
  <si>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</si>
  <si>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</si>
  <si>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</si>
  <si>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</si>
  <si>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</si>
  <si>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</si>
  <si>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</si>
  <si>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</si>
  <si>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</si>
  <si>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</si>
  <si>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</si>
  <si>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</si>
  <si>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</si>
  <si>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</si>
  <si>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</si>
  <si>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</si>
  <si>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</si>
  <si>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</si>
  <si>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</si>
  <si>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</si>
  <si>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</si>
  <si>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</si>
  <si>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</si>
  <si>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</si>
  <si>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</si>
  <si>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</si>
  <si>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</si>
  <si>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</si>
  <si>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</si>
  <si>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</si>
  <si>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</si>
  <si>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</si>
  <si>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</si>
  <si>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</si>
  <si>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</si>
  <si>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</si>
  <si>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</si>
  <si>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</si>
  <si>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</si>
  <si>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</si>
  <si>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</si>
  <si>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</si>
  <si>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</si>
  <si>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</si>
  <si>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</si>
  <si>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</si>
  <si>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</si>
  <si>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</si>
  <si>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</si>
  <si>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</si>
  <si>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</si>
  <si>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</si>
  <si>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</si>
  <si>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</si>
  <si>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</si>
  <si>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</si>
  <si>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</si>
  <si>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</si>
  <si>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</si>
  <si>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</si>
  <si>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</si>
  <si>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</si>
  <si>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</si>
  <si>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</si>
  <si>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</si>
  <si>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</si>
  <si>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</si>
  <si>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</si>
  <si>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</si>
  <si>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</si>
  <si>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</si>
  <si>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</si>
  <si>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</si>
  <si>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</si>
  <si>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</si>
  <si>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</si>
  <si>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</si>
  <si>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</si>
  <si>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</si>
  <si>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</si>
  <si>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</si>
  <si>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</si>
  <si>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</si>
  <si>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</si>
  <si>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</si>
  <si>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</si>
  <si>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</si>
  <si>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</si>
  <si>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</si>
  <si>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</si>
  <si>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</si>
  <si>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</si>
  <si>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</si>
  <si>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</si>
  <si>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</si>
  <si>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</si>
  <si>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</si>
  <si>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</si>
  <si>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</si>
  <si>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</si>
  <si>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</si>
  <si>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</si>
  <si>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</si>
  <si>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</si>
  <si>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</si>
  <si>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</si>
  <si>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</si>
  <si>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</si>
  <si>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</si>
  <si>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</si>
  <si>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</si>
  <si>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</si>
  <si>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</si>
  <si>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</si>
  <si>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</si>
  <si>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</si>
  <si>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</si>
  <si>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</si>
  <si>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</si>
  <si>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</si>
  <si>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</si>
  <si>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</si>
  <si>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</si>
  <si>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</si>
  <si>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</si>
  <si>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</si>
  <si>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</si>
  <si>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</si>
  <si>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</si>
  <si>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</si>
  <si>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</si>
  <si>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</si>
  <si>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</si>
  <si>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</si>
  <si>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</si>
  <si>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</si>
  <si>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</si>
  <si>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</si>
  <si>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</si>
  <si>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</si>
  <si>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</si>
  <si>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</si>
  <si>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</si>
  <si>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</si>
  <si>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</si>
  <si>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</si>
  <si>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</si>
  <si>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</si>
  <si>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</si>
  <si>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</si>
  <si>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</si>
  <si>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</si>
  <si>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</si>
  <si>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</si>
  <si>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</si>
  <si>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</si>
  <si>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</si>
  <si>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</si>
  <si>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</si>
  <si>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</si>
  <si>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</si>
  <si>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</si>
  <si>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</si>
  <si>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</si>
  <si>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</si>
  <si>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</si>
  <si>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</si>
  <si>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</si>
  <si>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</si>
  <si>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</si>
  <si>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</si>
  <si>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</si>
  <si>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</si>
  <si>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</si>
  <si>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</si>
  <si>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</si>
  <si>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</si>
  <si>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</si>
  <si>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</si>
  <si>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</si>
  <si>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</si>
  <si>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</si>
  <si>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</si>
  <si>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</si>
  <si>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</si>
  <si>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</si>
  <si>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</si>
  <si>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</si>
  <si>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</si>
  <si>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</si>
  <si>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</si>
  <si>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</si>
  <si>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</si>
  <si>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</si>
  <si>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</si>
  <si>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</si>
  <si>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</si>
  <si>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</si>
  <si>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</si>
  <si>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</si>
  <si>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</si>
  <si>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</si>
  <si>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</si>
  <si>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</si>
  <si>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</si>
  <si>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</si>
  <si>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</si>
  <si>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</si>
  <si>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</si>
  <si>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</si>
  <si>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</si>
  <si>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</si>
  <si>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</si>
  <si>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</si>
  <si>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</si>
  <si>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</si>
  <si>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</si>
  <si>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</si>
  <si>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</si>
  <si>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</si>
  <si>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</si>
  <si>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</si>
  <si>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</si>
  <si>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</si>
  <si>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</si>
  <si>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</si>
  <si>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</si>
  <si>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</si>
  <si>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</si>
  <si>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</si>
  <si>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</si>
  <si>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</si>
  <si>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</si>
  <si>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</si>
  <si>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</si>
  <si>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</si>
  <si>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</si>
  <si>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</si>
  <si>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</si>
  <si>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</si>
  <si>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</si>
  <si>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</si>
  <si>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</si>
  <si>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</si>
  <si>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</si>
  <si>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</si>
  <si>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</si>
  <si>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</si>
  <si>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</si>
  <si>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</si>
  <si>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</si>
  <si>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Claudio Daniele</t>
  </si>
  <si>
    <t>Brugnoni</t>
  </si>
  <si>
    <t>Italia</t>
  </si>
  <si>
    <t>Gavirate</t>
  </si>
  <si>
    <t>VA</t>
  </si>
  <si>
    <t>Italiano</t>
  </si>
  <si>
    <t>Inglese</t>
  </si>
  <si>
    <t>Ingegneria Nucleare</t>
  </si>
  <si>
    <t>1986</t>
  </si>
  <si>
    <t>Politecnico di Milano</t>
  </si>
  <si>
    <t>Reattivita catodo/elettrolita in Celle SOFC</t>
  </si>
  <si>
    <t>89/100</t>
  </si>
  <si>
    <t>Ingegneria Elettrochimica</t>
  </si>
  <si>
    <t>1993</t>
  </si>
  <si>
    <t>Politecnico di Milnao</t>
  </si>
  <si>
    <t>01/01/2005</t>
  </si>
  <si>
    <t>In corso</t>
  </si>
  <si>
    <t>Studio dott. ing. Claudio D. Brugnoni</t>
  </si>
  <si>
    <t>Consulenza in ambito innovazione e trasferimento tecnologico per PMI e Neti Pubblici</t>
  </si>
  <si>
    <t>Titolare Unico dello Studio che offre servizi di consulenza alle imprese e al territorio, in particolare per:
• L’Innovazione e il trasferimento tecnologico alle PMI
• La ricerca e la gestione tecnica di finanziamenti pubblici
• La progettazione e la gestione di reti di imprese, enti e distretti
• La gestione di progetti strategici per PMI o P.A.
• La gestione/creazione di progetti “Incubatori d’impresa”
• La creazione di Spin off o Start up
• Le applicazioni ICT per la diffusione di servizi on line nelle PMI e nelle P.A.
• La valutazione del grado di innovazione tecnologica di progetti aziendali
• La gestione della proprietà intellettuale
• I progetti di diffusione della Banda Larga ed eliminazione Digital Divide
• Lo scouting di servizi online basati su WEB 2.0 per gli Enti Locali e le Associazioni
• La gestione di sistemi aziendali (due diligence aziendale, business plan, project
management)</t>
  </si>
  <si>
    <t>CEO (Chief Executive Officer) dello Studio dott. ing. Claudio D. Brugnoni</t>
  </si>
  <si>
    <t>01/07/2001</t>
  </si>
  <si>
    <t>01/05/2008</t>
  </si>
  <si>
    <t>Polo Scientifico Tecnologico Lombardo S.p.A.</t>
  </si>
  <si>
    <t>Busto Arsizio</t>
  </si>
  <si>
    <t>Servizi alle imprese</t>
  </si>
  <si>
    <t>Sviluppo e gestione progetti di sostegno all’innovazione e trasferimento tecnologico alle Piccole e Medie Imprese (PMI). I progetti sviluppati e coordinati sono di seguito riassunti:
• Studio, sviluppo e gestione del servizio RIBEM (Rete Innovazione Brevetti e Marchi) per diffondere la cultura brevettuale alle PMI cofinanziato dalla Provincia di Varese e dalla CCIAA di Varese
• Studio del digital divide informatico in provincia di Varese e modello di intervento attraverso i progetti INPROVA e INFORMA finanziati dalla Provincia di Varese e E- PMI finanziato dalla CCIAA di Varese
• Studio per l’armonizzazione delle reti internet diffuse in Provincia di Varese e di servizi innovativi per l’e-governance con realizzazione di una stazione pilota presso PSTL per la dimostrazione dei servizi fruibili attraverso la banda larga
• Progetto “MINERVA” della Regione Lombardia per la sperimentazione di sistemi innovativi di finanziamento (voucher),
• Attività di ricerca/gestione finanziamenti alle PMI lombarde
• gestione delle attività collegate al progetto “Saturno” della Camera di Commercio di
Milano come responsabile del centro erogatore di servizi PSTL.
• Coordinamento progetto sull’uso delle fonti rinnovabili in Provincia di Varese e
formazione di personale idoneo allo sviluppo e gestione di tali strumenti finanziato dal Fondo Sociale Europeo.</t>
  </si>
  <si>
    <t>Executive Consultant con mansioni di capo progetto e  capo comessa</t>
  </si>
  <si>
    <t>01/02/1997</t>
  </si>
  <si>
    <t>01/02/2000</t>
  </si>
  <si>
    <t>J.R.C. - European Commission</t>
  </si>
  <si>
    <t>Ispra</t>
  </si>
  <si>
    <t>Ricerca e Sviluppo</t>
  </si>
  <si>
    <t>Ricercatore presso il Laboratorio Ciclotrone dell'Istituto per la Salute e la Protezione del Consumatore del C.C.R. C.E. d’Ispra (VA).
• Sviluppo e gestione di laboratori per misure elettrochimiche di corrosione nei metalli e relative leghe.
• Introduzione di nuove tecniche d’analisi (Thin Layer Activation) nel campo della corrosione.
• Applicazione delle tecniche d’analisi elettrochimiche allo studio del rilascio di Nickel in componenti a contatto con il corpo umano in supporto alla direttiva europea 94/27/EC della Commissione Europea.
• Gestione tecnica di contratti di ricerca a livello internazionale nell’ambito dell’ECSC (industria petrolchimica).
• Gestione tecnica di progetti istituzionali del 5° Programma Quadro della Commissione Europea
• Gestione e sviluppo della rete informatica presso il Laboratorio Ciclotrone come informatic officer.
• Gestione di progetti POP con Regione ed Università della Basilicata per il training di studenti ed il trasferimento di know-how ai laboratori dell’Università ed all’indotto industriale.
• Implementazione dei sistemi di qualità TQM per i laboratori gestiti.
• Gestione di personale tecnico e studenti di varie nazionalità.</t>
  </si>
  <si>
    <t>Temporay Research Manager con gestione gruppo di ricerca e informatic officer delal rete presso Ciclotrone grado A7 Commisisone Europea</t>
  </si>
  <si>
    <t>01/02/1994</t>
  </si>
  <si>
    <t xml:space="preserve">Svolgimento del dottorato di ricerca in ingegneria elettrochimica presso l’Istituto per i Materiali Avanzati del C.C.R. C.E. d’Ispra (VA).
o Studio del rilascio di ioni metallici da componenti industriali mediante tecniche elettrochimiche.
o Studio del rilascio di ioni metallici da componenti industriali mediante tecniche nucleari per l’analisi in tracce (Thin Layer Activation).
• Partecipazione allo sviluppo di un laboratorio per misure d’usura con Thin Layer Activation su motori a combustione interna.
</t>
  </si>
  <si>
    <t>Stagiare</t>
  </si>
  <si>
    <t>01/06/2009</t>
  </si>
  <si>
    <t>28/10/2013</t>
  </si>
  <si>
    <t>Comune di Gavirate</t>
  </si>
  <si>
    <t>Amministrazione pubblica</t>
  </si>
  <si>
    <t>Vicesindaco con delega al Marketing Territoriale, Attività Produttive e Artigianato, Informatizzazione e reti tecnologiche del Comune di Gavirate (VA).</t>
  </si>
  <si>
    <t>Indirizzo e gestione dei progetti di informatizzazione e reti tecnologiche del Comune di Gavirate</t>
  </si>
  <si>
    <t>01/04/2010</t>
  </si>
  <si>
    <t>01/02/2013</t>
  </si>
  <si>
    <t>Regione Lombardia</t>
  </si>
  <si>
    <t>Milano</t>
  </si>
  <si>
    <t>MI</t>
  </si>
  <si>
    <t>IX legislatura Regione Lombardia: Componente dei Comitati Tecnici Scientifici della Regione Lombardia, settore competitività a supporto delle Politiche della Presidenza e della Giunta Regionale</t>
  </si>
  <si>
    <t>Assistenza alla Giuntae alle DG per le tematiche di competività, membro del comitato tecnico Quaestio</t>
  </si>
  <si>
    <t>2 Ricerca e sviluppo</t>
  </si>
  <si>
    <t>LINEA R&amp;S PER MPMI (FRIM FESR 2020) D.d.u.o. 18 dicembre 2014 - n. 12397  BURL 53 del 2014</t>
  </si>
  <si>
    <t xml:space="preserve"> La Linea R&amp;S per MPMI (FRIM FESR 2020) si propone di favorire l’innovazione basata su investimenti in ricerca e sviluppo da parte delle micro, piccole e medie imprese, anche di nuova costituzione, al fine di garantire ricadute positive sul sistema competitivo e territoriale lombardo, conformemente alle finalità del fondo FRIM FESR 2020 istituito con D.G.R. n. X/2448 del 7 ottobre 2014.</t>
  </si>
  <si>
    <t>2018</t>
  </si>
  <si>
    <t>Fondo di Rotazione per l'imprenditorialità -FESR (FRM FESR 2011) DDUO 6197 del 6 luglio 2011 BURL 28 del 2011</t>
  </si>
  <si>
    <t xml:space="preserve">Sottomisura 1 Innovazione di prodotto e di processo e sottomisura 2 Applicazione industriale di risultati della ricerca. </t>
  </si>
  <si>
    <t>2011</t>
  </si>
  <si>
    <t>ERANET European Commission</t>
  </si>
  <si>
    <t>MANUNET Call 2017</t>
  </si>
  <si>
    <t>2017</t>
  </si>
  <si>
    <t>The main objective of MANUNET is to strengthen Europe’s industrial capacities and business perspectives with special focus on SMEs.The strategic objective of the MANUNET Call 2017 is to enhance the competitiveness of Europe’s Manufacturing Industry by supporting the funding of manufacturing research projects performed by enterprises and their strategic partnerships</t>
  </si>
  <si>
    <t>Da un punto di vista professionale si sono svolte attività correlate ai campi indicati fin dal 1994 durante lo stage presso il Centro Comune di Ricerca. Le attività svolte sono state direttamente collegate a progetti di ricerca avanzati su materiali con tecniche di analisi non convenzionali. Lo sbocco di questa attività durata dal 1994 al 2000 è stata una stazione di misura denominata ETLAF (electrochemical thin layer activation facility) che in modo unico la mondo combina tecniche quantitative di misura del grado di corrosione con tecniche qualitative di valutazione elettrochimica. Tutto ciò ha portato ad acquisire notevoli capacita nel campo dell’analisi materiali avanzati e nell’uso di algoritmi informatici , modelli di calcolo software dedicati. (TIA4 e TIA1). Durante quel periodo, grazi alle competenze informatiche, si è avuto l’incarico com e Informatic Officer della Commissione Europea. (TIA1). Dal 2001 ad oggi si è sviluppata ed affinata tale capacità con progetti e studi di fattibilità legati al settore del digital divide per CCIAA di Varese, dei brevetti e del grado di innovazione aziendale con progetti innovativi. (TIA1, TIA4, TIA8). L’uso di algoritmi di ricerca brevettuale è stato affinato con la creazione di un servizio innovativo denominato RIBEM. Nel corso degli anni, si è sviluppata una capacità di analisi di progetti innovativi e start up nei settori di produzione materiali, applicazioni ICT e materiali avanzati. Come dato significativo sono stati valutati per conto di Regione Lombardia circa 150 progetti di innovazione e ricerca e sviluppo. (TIA1, TIA4, TIA8). La capacità di essere sempre attento all’innovazione deriva anche dalle esperienze istituzionali in cui ho sviluppato per il territorio valutazioni sui servizi digitale per le Pubbliche Amministrazioni e servizi per il territorio premiati a SMAU come progetti ICT Innovativi. (TIA1). SI sono redatte com primo autore diverse pubblicazioni scientifiche, si è partecipato a numero si congressi nazionali  e internazionali con proprie presentazioni. Senior Consultant accreditato presso Éupolis per AMBITI TEMATICI: Commercio AMBITI TEMATICI: Industria e PMI AMBITI TEMATICI: Reti e servizi di pubblica utilità AMBITI TEMATICI: Ricerca, innovazione e trasferimento tecnologico AMBITI TEMATICI: Turismo AMBITI TRASVERSALI: Metodi, strumenti e tecniche di ricerca AMBITI TRASVERSALI: Programmazione e controllo AMBITI TRASVERSALI: Sistemi informativi 
Accreditato elenco fornitori per affiancamento aziende partecipanti a Bando Start Up e Re-Start Up. Accreditato Expert per programma Horizon 2020 e COSME</t>
  </si>
  <si>
    <t>Il corso di laurea in ingegneria nucleare è stato svolto con l'indirizzo materiali. In questo corso si sono approfonditi aspetti relativi alla produzione di materiali speciali con processi innovativi (MA1, MA2, MA3). In particolare si è approfondito il tema di materiali speciali per applicazioni in ambito fuel cells e chimica fisica dei processi per produrre materiali avanzati. La parte di testing sui materiali ha visto la valutazione di procedure di sinterizzazione avanzate (MA1) per zirconi e suoi ossidi drogati. Queste metodologie di produzione avanzata sono divenute di interesse industriale per lo sviluppo delle attuali Fuell Cells a stato solido.(MA1, MA2, MA5). Il dottorato di ricerca ha approfondito le tematiche legate ai processi di usura e corrosione in ambito industriale, atmosferico e di ricerca biomedica e alimentare. (MA1, MA2, MA5). Le attività sono state svolte in centri di ricerca internazionali e hanno consentito di sviluppare metodi per il controllo di produzioni di materiali molto avanzate e legate all'uso di una tecnica denominata thin layer activation per il controllo dei parametri di usura e corrosione negli impianti avanzati di produzione (pipeline petrolchimiche per esempio)  (MA1, MA2, MA5). Di rilievo è lo sviluppo di una sala prova motori per il settore automotive in cui si è utilizzato per la prima volt ali metodo thin player activation pe monitorar elle prestazioni dei motori e degli oli prodotti per uso automotive. Questa esperienza di stage ha consentito lo sviluppo di capacita di analisi e progettazione di impianti complessi in ambienti safety.  (MA1, MA2, MA5). Di rilievo partecipazione a progetti europei in ambito Eocnomia Cricolare (LIfe M3p e Enter Interreg) con applicaizoni innovative in ambito rifiuti, nuove tecnologie e piattaforme di matching per il riuso degli scarti industriali.</t>
  </si>
  <si>
    <t>Da un punto di vista professionale si sono svolte attività correlate ai campi indicati fin dal 1994 durante lo stage presso il Centro Comune di Ricerca. Le attività svolte sono state direttamente collegate a progetti di ricerca avanzati su materiali con tecniche di analisi non convenzionali. Lo sbocco di questa attività durata dal 1994 al 2000 è stata una stazione di misura denominata ETLAF (electrochemical thin layer activation facility) che in modo unico la mondo combina tecniche quantitative di misura del grado di corrosione con tecniche qualitative di valutazione elettrochimica. Questa capacità di progettare impianti radicalmente innovativi è stata premiata con diverse pubblicazioni scientifiche e progetti di ricerca istituzionali della Commissione Europea. Nel corso degli anni, si è sviluppata una capacità di analisi di progetti innovativi e start up nei settori di produzione con processi  innovati, evolutivi e ad alta efficienza.(MA1, MA2, MA5) Come dato significativo sono stati valutati per conto di Regione Lombardia circa 150 progetti di innovazione e ricerca e sviluppo. La capacità di essere sempre attento all’innovazione deriva anche dalle esperienze istituzionali in cui ho sviluppato per il territorio valutazioni su attività produttive, start up e insediamenti innnovativi. SI sono redatte com primo autore diverse pubblicazioni scientifiche, si è partecipato a numero si congressi nazionali  e internazionali con proprie presentazioni. Senior Consultant accreditato presso Éupolis per AMBITI TEMATICI: Commercio AMBITI TEMATICI: Industria e PMI AMBITI TEMATICI: Reti e servizi di pubblica utilità AMBITI TEMATICI: Ricerca, innovazione e trasferimento tecnologico AMBITI TEMATICI: Turismo AMBITI TRASVERSALI: Metodi, strumenti e tecniche di ricerca AMBITI TRASVERSALI: Programmazione e controllo AMBITI TRASVERSALI: Sistemi informativi 
Accreditato elenco fornitori per affiancamento aziende partecipanti a Bando Start Up e Re-Start Up. Accreditato Expert per programma Horizon 2020 e COSME</t>
  </si>
  <si>
    <t>1967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</si>
</sst>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
      <sz val="9"/>
      <color rgb="FF000000"/>
      <name val="Tahoma"/>
      <family val="2"/>
    </font>
    <font>
      <b/>
      <sz val="9"/>
      <color rgb="FF000000"/>
      <name val="Tahoma"/>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6">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A23" zoomScale="110" zoomScaleNormal="110" workbookViewId="0">
      <selection activeCell="D34" sqref="D34:D38"/>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3" t="s">
        <v>207</v>
      </c>
      <c r="D6" s="33"/>
    </row>
    <row r="7" spans="1:4" ht="15" customHeight="1" x14ac:dyDescent="0.35">
      <c r="A7" s="11" t="s">
        <v>104</v>
      </c>
      <c r="B7" s="5"/>
      <c r="C7" s="6" t="s">
        <v>105</v>
      </c>
      <c r="D7" s="12" t="str">
        <f>nome&amp;" "&amp;cognome&amp;"; "&amp;codice_fiscale</f>
        <v xml:space="preserve">Claudio Daniele Brugnoni; </v>
      </c>
    </row>
    <row r="8" spans="1:4" ht="15" customHeight="1" x14ac:dyDescent="0.35">
      <c r="A8" s="11"/>
      <c r="B8" s="5"/>
      <c r="C8" s="5"/>
      <c r="D8" s="5"/>
    </row>
    <row r="9" spans="1:4" ht="20" x14ac:dyDescent="0.35">
      <c r="A9" s="11"/>
      <c r="B9" s="5"/>
      <c r="C9" s="31" t="s">
        <v>172</v>
      </c>
      <c r="D9" s="31"/>
    </row>
    <row r="10" spans="1:4" ht="15" customHeight="1" x14ac:dyDescent="0.35">
      <c r="A10" s="11"/>
      <c r="B10" s="5"/>
      <c r="C10" s="5"/>
      <c r="D10" s="5"/>
    </row>
    <row r="11" spans="1:4" ht="15" customHeight="1" x14ac:dyDescent="0.35">
      <c r="A11" s="11" t="s">
        <v>91</v>
      </c>
      <c r="B11" s="5"/>
      <c r="C11" s="6" t="s">
        <v>60</v>
      </c>
      <c r="D11" s="3" t="s">
        <v>677</v>
      </c>
    </row>
    <row r="12" spans="1:4" ht="15" customHeight="1" x14ac:dyDescent="0.35">
      <c r="A12" s="11" t="s">
        <v>92</v>
      </c>
      <c r="B12" s="5"/>
      <c r="C12" s="6" t="s">
        <v>61</v>
      </c>
      <c r="D12" s="3" t="s">
        <v>678</v>
      </c>
    </row>
    <row r="13" spans="1:4" ht="15" customHeight="1" x14ac:dyDescent="0.35">
      <c r="A13" s="11" t="s">
        <v>93</v>
      </c>
      <c r="B13" s="5"/>
      <c r="C13" s="6" t="s">
        <v>112</v>
      </c>
      <c r="D13" s="3" t="s">
        <v>113</v>
      </c>
    </row>
    <row r="14" spans="1:4" ht="15" customHeight="1" x14ac:dyDescent="0.35">
      <c r="A14" s="11"/>
      <c r="B14" s="5"/>
      <c r="C14" s="5"/>
      <c r="D14" s="5"/>
    </row>
    <row r="15" spans="1:4" ht="15" customHeight="1" x14ac:dyDescent="0.35">
      <c r="A15" s="11" t="s">
        <v>94</v>
      </c>
      <c r="B15" s="5"/>
      <c r="C15" s="6" t="s">
        <v>62</v>
      </c>
      <c r="D15" s="3" t="s">
        <v>679</v>
      </c>
    </row>
    <row r="16" spans="1:4" ht="15" customHeight="1" x14ac:dyDescent="0.35">
      <c r="A16" s="11" t="s">
        <v>95</v>
      </c>
      <c r="B16" s="5"/>
      <c r="C16" s="6" t="s">
        <v>63</v>
      </c>
      <c r="D16" s="3" t="s">
        <v>680</v>
      </c>
    </row>
    <row r="17" spans="1:4" ht="15" customHeight="1" x14ac:dyDescent="0.35">
      <c r="A17" s="11" t="s">
        <v>96</v>
      </c>
      <c r="B17" s="5"/>
      <c r="C17" s="6" t="s">
        <v>100</v>
      </c>
      <c r="D17" s="3" t="s">
        <v>681</v>
      </c>
    </row>
    <row r="18" spans="1:4" ht="15" customHeight="1" x14ac:dyDescent="0.35">
      <c r="A18" s="11" t="s">
        <v>97</v>
      </c>
      <c r="B18" s="5"/>
      <c r="C18" s="6" t="s">
        <v>101</v>
      </c>
      <c r="D18" s="3" t="s">
        <v>742</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670</v>
      </c>
      <c r="D31" s="3"/>
    </row>
    <row r="32" spans="1:4" ht="15" customHeight="1" x14ac:dyDescent="0.35">
      <c r="A32" s="11" t="s">
        <v>85</v>
      </c>
      <c r="B32" s="5"/>
      <c r="C32" s="6" t="s">
        <v>671</v>
      </c>
      <c r="D32" s="4"/>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1" t="s">
        <v>173</v>
      </c>
      <c r="D40" s="31"/>
    </row>
    <row r="41" spans="1:4" ht="15" customHeight="1" x14ac:dyDescent="0.35">
      <c r="A41" s="11"/>
      <c r="B41" s="5"/>
      <c r="C41" s="5"/>
      <c r="D41" s="5"/>
    </row>
    <row r="42" spans="1:4" ht="15" customHeight="1" x14ac:dyDescent="0.35">
      <c r="A42" s="11" t="s">
        <v>106</v>
      </c>
      <c r="B42" s="5"/>
      <c r="C42" s="6" t="s">
        <v>124</v>
      </c>
      <c r="D42" s="3" t="s">
        <v>682</v>
      </c>
    </row>
    <row r="43" spans="1:4" ht="15" customHeight="1" x14ac:dyDescent="0.35">
      <c r="A43" s="11" t="s">
        <v>107</v>
      </c>
      <c r="B43" s="5"/>
      <c r="C43" s="6" t="s">
        <v>126</v>
      </c>
      <c r="D43" s="4" t="s">
        <v>683</v>
      </c>
    </row>
    <row r="44" spans="1:4" ht="15" customHeight="1" x14ac:dyDescent="0.35">
      <c r="A44" s="11" t="s">
        <v>108</v>
      </c>
      <c r="B44" s="5"/>
      <c r="C44" s="6" t="s">
        <v>127</v>
      </c>
      <c r="D44" s="4" t="s">
        <v>321</v>
      </c>
    </row>
    <row r="45" spans="1:4" ht="15" customHeight="1" x14ac:dyDescent="0.35">
      <c r="A45" s="11" t="s">
        <v>109</v>
      </c>
      <c r="B45" s="5"/>
      <c r="C45" s="6" t="s">
        <v>128</v>
      </c>
      <c r="D45" s="4"/>
    </row>
    <row r="46" spans="1:4" ht="15" customHeight="1" x14ac:dyDescent="0.35">
      <c r="A46" s="11" t="s">
        <v>110</v>
      </c>
      <c r="B46" s="5"/>
      <c r="C46" s="6" t="s">
        <v>129</v>
      </c>
      <c r="D46" s="4"/>
    </row>
    <row r="47" spans="1:4" ht="15" customHeight="1" x14ac:dyDescent="0.35">
      <c r="A47" s="11" t="s">
        <v>111</v>
      </c>
      <c r="B47" s="5"/>
      <c r="C47" s="6" t="s">
        <v>130</v>
      </c>
      <c r="D47" s="4"/>
    </row>
    <row r="48" spans="1:4" ht="15" customHeight="1" x14ac:dyDescent="0.35">
      <c r="A48" s="11" t="s">
        <v>132</v>
      </c>
      <c r="B48" s="5"/>
      <c r="C48" s="6" t="s">
        <v>131</v>
      </c>
      <c r="D48" s="4"/>
    </row>
    <row r="49" spans="1:4" ht="15" customHeight="1" x14ac:dyDescent="0.35">
      <c r="A49" s="11"/>
      <c r="B49" s="5"/>
      <c r="C49" s="5"/>
      <c r="D49" s="5"/>
    </row>
    <row r="50" spans="1:4" ht="20" x14ac:dyDescent="0.35">
      <c r="A50" s="11"/>
      <c r="B50" s="5"/>
      <c r="C50" s="31" t="s">
        <v>174</v>
      </c>
      <c r="D50" s="31"/>
    </row>
    <row r="51" spans="1:4" ht="30" customHeight="1" x14ac:dyDescent="0.35">
      <c r="A51" s="11"/>
      <c r="B51" s="5"/>
      <c r="C51" s="32" t="s">
        <v>359</v>
      </c>
      <c r="D51" s="32"/>
    </row>
    <row r="52" spans="1:4" ht="15" customHeight="1" x14ac:dyDescent="0.35">
      <c r="A52" s="11"/>
      <c r="B52" s="5"/>
      <c r="C52" s="5"/>
      <c r="D52" s="5"/>
    </row>
    <row r="53" spans="1:4" ht="15" customHeight="1" x14ac:dyDescent="0.35">
      <c r="A53" s="11" t="s">
        <v>133</v>
      </c>
      <c r="B53" s="5"/>
      <c r="C53" s="6" t="s">
        <v>353</v>
      </c>
      <c r="D53" s="3" t="s">
        <v>59</v>
      </c>
    </row>
    <row r="54" spans="1:4" ht="15" customHeight="1" x14ac:dyDescent="0.35">
      <c r="A54" s="11" t="s">
        <v>134</v>
      </c>
      <c r="B54" s="5"/>
      <c r="C54" s="6" t="s">
        <v>355</v>
      </c>
      <c r="D54" s="4" t="s">
        <v>43</v>
      </c>
    </row>
    <row r="55" spans="1:4" ht="15" customHeight="1" x14ac:dyDescent="0.35">
      <c r="A55" s="11" t="s">
        <v>135</v>
      </c>
      <c r="B55" s="5"/>
      <c r="C55" s="6" t="s">
        <v>356</v>
      </c>
      <c r="D55" s="4" t="s">
        <v>46</v>
      </c>
    </row>
    <row r="56" spans="1:4" ht="15" customHeight="1" x14ac:dyDescent="0.35">
      <c r="A56" s="11" t="s">
        <v>136</v>
      </c>
      <c r="B56" s="5"/>
      <c r="C56" s="6" t="s">
        <v>474</v>
      </c>
      <c r="D56" s="4" t="s">
        <v>50</v>
      </c>
    </row>
    <row r="57" spans="1:4" ht="15" customHeight="1" x14ac:dyDescent="0.35">
      <c r="A57" s="11"/>
      <c r="B57" s="5"/>
      <c r="C57" s="5"/>
      <c r="D57" s="5"/>
    </row>
    <row r="58" spans="1:4" ht="15" customHeight="1" x14ac:dyDescent="0.35">
      <c r="A58" s="11" t="s">
        <v>137</v>
      </c>
      <c r="B58" s="5"/>
      <c r="C58" s="6" t="s">
        <v>354</v>
      </c>
      <c r="D58" s="3" t="s">
        <v>56</v>
      </c>
    </row>
    <row r="59" spans="1:4" ht="15" customHeight="1" x14ac:dyDescent="0.35">
      <c r="A59" s="11" t="s">
        <v>138</v>
      </c>
      <c r="B59" s="5"/>
      <c r="C59" s="6" t="s">
        <v>357</v>
      </c>
      <c r="D59" s="4" t="s">
        <v>26</v>
      </c>
    </row>
    <row r="60" spans="1:4" ht="15" customHeight="1" x14ac:dyDescent="0.35">
      <c r="A60" s="11" t="s">
        <v>472</v>
      </c>
      <c r="B60" s="5"/>
      <c r="C60" s="6" t="s">
        <v>358</v>
      </c>
      <c r="D60" s="4" t="s">
        <v>27</v>
      </c>
    </row>
    <row r="61" spans="1:4" ht="15" customHeight="1" x14ac:dyDescent="0.35">
      <c r="A61" s="11" t="s">
        <v>473</v>
      </c>
      <c r="C61" s="6" t="s">
        <v>475</v>
      </c>
      <c r="D61" s="4" t="s">
        <v>30</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5">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D61">
      <formula1>INDIRECT(spec_secondaria)</formula1>
    </dataValidation>
    <dataValidation type="list" allowBlank="1" showInputMessage="1" showErrorMessage="1" sqref="D58 D53">
      <formula1>Macroaree</formula1>
    </dataValidation>
    <dataValidation type="list" allowBlank="1" showInputMessage="1" showErrorMessage="1" sqref="D54:D56">
      <formula1>INDIRECT(spec_principale)</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A10" zoomScaleNormal="100" workbookViewId="0">
      <selection activeCell="D40" sqref="D40"/>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4" t="s">
        <v>208</v>
      </c>
      <c r="D6" s="34"/>
    </row>
    <row r="7" spans="1:4" ht="15" customHeight="1" x14ac:dyDescent="0.35">
      <c r="A7" s="11" t="s">
        <v>119</v>
      </c>
      <c r="B7" s="5"/>
      <c r="C7" s="6" t="s">
        <v>105</v>
      </c>
      <c r="D7" s="12" t="str">
        <f>candidatura</f>
        <v xml:space="preserve">Claudio Daniele Brugnoni; </v>
      </c>
    </row>
    <row r="8" spans="1:4" ht="15" customHeight="1" x14ac:dyDescent="0.35">
      <c r="A8" s="11"/>
      <c r="B8" s="5"/>
      <c r="C8" s="5"/>
      <c r="D8" s="5"/>
    </row>
    <row r="9" spans="1:4" ht="20" x14ac:dyDescent="0.35">
      <c r="A9" s="11"/>
      <c r="B9" s="5"/>
      <c r="C9" s="31" t="s">
        <v>175</v>
      </c>
      <c r="D9" s="31"/>
    </row>
    <row r="10" spans="1:4" ht="15" customHeight="1" x14ac:dyDescent="0.35">
      <c r="A10" s="11"/>
      <c r="B10" s="5"/>
      <c r="C10" s="5"/>
      <c r="D10" s="5"/>
    </row>
    <row r="11" spans="1:4" ht="15" customHeight="1" x14ac:dyDescent="0.35">
      <c r="A11" s="11" t="s">
        <v>142</v>
      </c>
      <c r="B11" s="5"/>
      <c r="C11" s="6" t="s">
        <v>426</v>
      </c>
      <c r="D11" s="3" t="s">
        <v>140</v>
      </c>
    </row>
    <row r="12" spans="1:4" ht="15" customHeight="1" x14ac:dyDescent="0.35">
      <c r="A12" s="11" t="s">
        <v>147</v>
      </c>
      <c r="B12" s="5"/>
      <c r="C12" s="6" t="s">
        <v>427</v>
      </c>
      <c r="D12" s="3" t="s">
        <v>684</v>
      </c>
    </row>
    <row r="13" spans="1:4" ht="15" customHeight="1" x14ac:dyDescent="0.35">
      <c r="A13" s="11" t="s">
        <v>148</v>
      </c>
      <c r="B13" s="5"/>
      <c r="C13" s="6" t="s">
        <v>143</v>
      </c>
      <c r="D13" s="3" t="s">
        <v>685</v>
      </c>
    </row>
    <row r="14" spans="1:4" ht="15" customHeight="1" x14ac:dyDescent="0.35">
      <c r="A14" s="11" t="s">
        <v>149</v>
      </c>
      <c r="B14" s="5"/>
      <c r="C14" s="6" t="s">
        <v>144</v>
      </c>
      <c r="D14" s="3" t="s">
        <v>686</v>
      </c>
    </row>
    <row r="15" spans="1:4" ht="45" customHeight="1" x14ac:dyDescent="0.35">
      <c r="A15" s="16" t="s">
        <v>150</v>
      </c>
      <c r="B15" s="5"/>
      <c r="C15" s="18" t="s">
        <v>145</v>
      </c>
      <c r="D15" s="14" t="s">
        <v>687</v>
      </c>
    </row>
    <row r="16" spans="1:4" ht="15" customHeight="1" x14ac:dyDescent="0.35">
      <c r="A16" s="11" t="s">
        <v>151</v>
      </c>
      <c r="B16" s="5"/>
      <c r="C16" s="6" t="s">
        <v>146</v>
      </c>
      <c r="D16" s="3" t="s">
        <v>688</v>
      </c>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1" t="s">
        <v>176</v>
      </c>
      <c r="D35" s="31"/>
    </row>
    <row r="36" spans="1:4" ht="15" customHeight="1" x14ac:dyDescent="0.35">
      <c r="A36" s="11"/>
      <c r="B36" s="5"/>
      <c r="C36" s="5"/>
      <c r="D36" s="5"/>
    </row>
    <row r="37" spans="1:4" ht="15" customHeight="1" x14ac:dyDescent="0.35">
      <c r="A37" s="11" t="s">
        <v>167</v>
      </c>
      <c r="B37" s="5"/>
      <c r="C37" s="6" t="s">
        <v>360</v>
      </c>
      <c r="D37" s="4" t="s">
        <v>689</v>
      </c>
    </row>
    <row r="38" spans="1:4" ht="15" customHeight="1" x14ac:dyDescent="0.35">
      <c r="A38" s="11" t="s">
        <v>168</v>
      </c>
      <c r="B38" s="5"/>
      <c r="C38" s="6" t="s">
        <v>166</v>
      </c>
      <c r="D38" s="4" t="s">
        <v>690</v>
      </c>
    </row>
    <row r="39" spans="1:4" ht="15" customHeight="1" x14ac:dyDescent="0.35">
      <c r="A39" s="11" t="s">
        <v>169</v>
      </c>
      <c r="B39" s="5"/>
      <c r="C39" s="6" t="s">
        <v>144</v>
      </c>
      <c r="D39" s="4" t="s">
        <v>691</v>
      </c>
    </row>
    <row r="40" spans="1:4" ht="45" customHeight="1" x14ac:dyDescent="0.35">
      <c r="A40" s="16" t="s">
        <v>170</v>
      </c>
      <c r="B40" s="5"/>
      <c r="C40" s="18" t="s">
        <v>145</v>
      </c>
      <c r="D40" s="15"/>
    </row>
    <row r="41" spans="1:4" ht="15" customHeight="1" x14ac:dyDescent="0.35">
      <c r="A41" s="11" t="s">
        <v>171</v>
      </c>
      <c r="B41" s="5"/>
      <c r="C41" s="6" t="s">
        <v>146</v>
      </c>
      <c r="D41" s="4"/>
    </row>
    <row r="42" spans="1:4" ht="15" customHeight="1" x14ac:dyDescent="0.35">
      <c r="A42" s="11"/>
      <c r="B42" s="5"/>
      <c r="C42" s="5"/>
      <c r="D42" s="5"/>
    </row>
    <row r="43" spans="1:4" ht="20" x14ac:dyDescent="0.35">
      <c r="A43" s="11"/>
      <c r="B43" s="5"/>
      <c r="C43" s="31" t="s">
        <v>177</v>
      </c>
      <c r="D43" s="31"/>
    </row>
    <row r="44" spans="1:4" ht="15" customHeight="1" x14ac:dyDescent="0.35">
      <c r="A44" s="11"/>
      <c r="B44" s="5"/>
      <c r="C44" s="5"/>
      <c r="D44" s="5"/>
    </row>
    <row r="45" spans="1:4" ht="15" customHeight="1" x14ac:dyDescent="0.35">
      <c r="A45" s="11" t="s">
        <v>178</v>
      </c>
      <c r="B45" s="5"/>
      <c r="C45" s="6" t="s">
        <v>361</v>
      </c>
      <c r="D45" s="4"/>
    </row>
    <row r="46" spans="1:4" ht="15" customHeight="1" x14ac:dyDescent="0.35">
      <c r="A46" s="11" t="s">
        <v>179</v>
      </c>
      <c r="B46" s="5"/>
      <c r="C46" s="6" t="s">
        <v>166</v>
      </c>
      <c r="D46" s="4"/>
    </row>
    <row r="47" spans="1:4" ht="15" customHeight="1" x14ac:dyDescent="0.35">
      <c r="A47" s="11" t="s">
        <v>180</v>
      </c>
      <c r="B47" s="5"/>
      <c r="C47" s="6" t="s">
        <v>144</v>
      </c>
      <c r="D47" s="4"/>
    </row>
    <row r="48" spans="1:4" ht="45" customHeight="1" x14ac:dyDescent="0.35">
      <c r="A48" s="16" t="s">
        <v>181</v>
      </c>
      <c r="B48" s="5"/>
      <c r="C48" s="18" t="s">
        <v>145</v>
      </c>
      <c r="D48" s="15"/>
    </row>
    <row r="49" spans="1:4" ht="15" customHeight="1" x14ac:dyDescent="0.35">
      <c r="A49" s="11" t="s">
        <v>182</v>
      </c>
      <c r="B49" s="5"/>
      <c r="C49" s="6" t="s">
        <v>146</v>
      </c>
      <c r="D49" s="4"/>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zoomScaleNormal="100" workbookViewId="0">
      <selection activeCell="D84" sqref="D84"/>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4" t="s">
        <v>209</v>
      </c>
      <c r="D6" s="34"/>
    </row>
    <row r="7" spans="1:4" ht="15" customHeight="1" x14ac:dyDescent="0.35">
      <c r="A7" s="11" t="s">
        <v>120</v>
      </c>
      <c r="B7" s="5"/>
      <c r="C7" s="6" t="s">
        <v>105</v>
      </c>
      <c r="D7" s="12" t="str">
        <f>candidatura</f>
        <v xml:space="preserve">Claudio Daniele Brugnoni; </v>
      </c>
    </row>
    <row r="8" spans="1:4" ht="15" customHeight="1" x14ac:dyDescent="0.35">
      <c r="A8" s="11"/>
      <c r="B8" s="5"/>
      <c r="C8" s="5"/>
      <c r="D8" s="5"/>
    </row>
    <row r="9" spans="1:4" ht="20" x14ac:dyDescent="0.35">
      <c r="A9" s="11"/>
      <c r="B9" s="5"/>
      <c r="C9" s="31" t="s">
        <v>660</v>
      </c>
      <c r="D9" s="31"/>
    </row>
    <row r="10" spans="1:4" ht="60" customHeight="1" x14ac:dyDescent="0.35">
      <c r="A10" s="11"/>
      <c r="B10" s="5"/>
      <c r="C10" s="35" t="s">
        <v>362</v>
      </c>
      <c r="D10" s="35"/>
    </row>
    <row r="11" spans="1:4" ht="15" customHeight="1" x14ac:dyDescent="0.35">
      <c r="A11" s="11"/>
      <c r="B11" s="5"/>
      <c r="C11" s="5"/>
      <c r="D11" s="5"/>
    </row>
    <row r="12" spans="1:4" ht="15" customHeight="1" x14ac:dyDescent="0.35">
      <c r="A12" s="11" t="s">
        <v>188</v>
      </c>
      <c r="B12" s="5"/>
      <c r="C12" s="6" t="s">
        <v>491</v>
      </c>
      <c r="D12" s="3" t="s">
        <v>692</v>
      </c>
    </row>
    <row r="13" spans="1:4" ht="15" customHeight="1" x14ac:dyDescent="0.35">
      <c r="A13" s="11" t="s">
        <v>189</v>
      </c>
      <c r="B13" s="5"/>
      <c r="C13" s="6" t="s">
        <v>492</v>
      </c>
      <c r="D13" s="3" t="s">
        <v>693</v>
      </c>
    </row>
    <row r="14" spans="1:4" ht="15" customHeight="1" x14ac:dyDescent="0.35">
      <c r="A14" s="11" t="s">
        <v>190</v>
      </c>
      <c r="B14" s="5"/>
      <c r="C14" s="6" t="s">
        <v>377</v>
      </c>
      <c r="D14" s="3" t="s">
        <v>694</v>
      </c>
    </row>
    <row r="15" spans="1:4" ht="15" customHeight="1" x14ac:dyDescent="0.35">
      <c r="A15" s="11" t="s">
        <v>191</v>
      </c>
      <c r="B15" s="5"/>
      <c r="C15" s="6" t="s">
        <v>376</v>
      </c>
      <c r="D15" s="3" t="s">
        <v>680</v>
      </c>
    </row>
    <row r="16" spans="1:4" ht="15" customHeight="1" x14ac:dyDescent="0.35">
      <c r="A16" s="11" t="s">
        <v>192</v>
      </c>
      <c r="B16" s="5"/>
      <c r="C16" s="6" t="s">
        <v>558</v>
      </c>
      <c r="D16" s="3" t="s">
        <v>681</v>
      </c>
    </row>
    <row r="17" spans="1:4" ht="15" customHeight="1" x14ac:dyDescent="0.35">
      <c r="A17" s="11" t="s">
        <v>193</v>
      </c>
      <c r="B17" s="5"/>
      <c r="C17" s="6" t="s">
        <v>198</v>
      </c>
      <c r="D17" s="3" t="s">
        <v>199</v>
      </c>
    </row>
    <row r="18" spans="1:4" ht="15" customHeight="1" x14ac:dyDescent="0.35">
      <c r="A18" s="11" t="s">
        <v>194</v>
      </c>
      <c r="B18" s="5"/>
      <c r="C18" s="6" t="s">
        <v>186</v>
      </c>
      <c r="D18" s="3" t="s">
        <v>695</v>
      </c>
    </row>
    <row r="19" spans="1:4" ht="15" customHeight="1" x14ac:dyDescent="0.35">
      <c r="A19" s="11" t="s">
        <v>195</v>
      </c>
      <c r="B19" s="5"/>
      <c r="C19" s="6" t="s">
        <v>484</v>
      </c>
      <c r="D19" s="3" t="s">
        <v>486</v>
      </c>
    </row>
    <row r="20" spans="1:4" ht="15" customHeight="1" x14ac:dyDescent="0.35">
      <c r="A20" s="11" t="s">
        <v>196</v>
      </c>
      <c r="B20" s="5"/>
      <c r="C20" s="6" t="s">
        <v>488</v>
      </c>
      <c r="D20" s="3" t="s">
        <v>490</v>
      </c>
    </row>
    <row r="21" spans="1:4" s="28" customFormat="1" ht="75" customHeight="1" x14ac:dyDescent="0.35">
      <c r="A21" s="16" t="s">
        <v>211</v>
      </c>
      <c r="B21" s="17"/>
      <c r="C21" s="18" t="s">
        <v>197</v>
      </c>
      <c r="D21" s="14" t="s">
        <v>696</v>
      </c>
    </row>
    <row r="22" spans="1:4" s="28" customFormat="1" ht="45" customHeight="1" x14ac:dyDescent="0.35">
      <c r="A22" s="16" t="s">
        <v>212</v>
      </c>
      <c r="B22" s="17"/>
      <c r="C22" s="18" t="s">
        <v>187</v>
      </c>
      <c r="D22" s="14" t="s">
        <v>697</v>
      </c>
    </row>
    <row r="24" spans="1:4" ht="15" customHeight="1" x14ac:dyDescent="0.35">
      <c r="A24" s="11" t="s">
        <v>213</v>
      </c>
      <c r="B24" s="5"/>
      <c r="C24" s="6" t="s">
        <v>491</v>
      </c>
      <c r="D24" s="4" t="s">
        <v>698</v>
      </c>
    </row>
    <row r="25" spans="1:4" ht="15" customHeight="1" x14ac:dyDescent="0.35">
      <c r="A25" s="11" t="s">
        <v>214</v>
      </c>
      <c r="B25" s="5"/>
      <c r="C25" s="6" t="s">
        <v>492</v>
      </c>
      <c r="D25" s="4" t="s">
        <v>699</v>
      </c>
    </row>
    <row r="26" spans="1:4" ht="15" customHeight="1" x14ac:dyDescent="0.35">
      <c r="A26" s="11" t="s">
        <v>215</v>
      </c>
      <c r="B26" s="5"/>
      <c r="C26" s="6" t="s">
        <v>378</v>
      </c>
      <c r="D26" s="4" t="s">
        <v>700</v>
      </c>
    </row>
    <row r="27" spans="1:4" ht="15" customHeight="1" x14ac:dyDescent="0.35">
      <c r="A27" s="11" t="s">
        <v>216</v>
      </c>
      <c r="B27" s="5"/>
      <c r="C27" s="6" t="s">
        <v>376</v>
      </c>
      <c r="D27" s="4" t="s">
        <v>701</v>
      </c>
    </row>
    <row r="28" spans="1:4" ht="15" customHeight="1" x14ac:dyDescent="0.35">
      <c r="A28" s="11" t="s">
        <v>217</v>
      </c>
      <c r="B28" s="5"/>
      <c r="C28" s="6" t="s">
        <v>558</v>
      </c>
      <c r="D28" s="4" t="s">
        <v>681</v>
      </c>
    </row>
    <row r="29" spans="1:4" ht="15" customHeight="1" x14ac:dyDescent="0.35">
      <c r="A29" s="11" t="s">
        <v>218</v>
      </c>
      <c r="B29" s="5"/>
      <c r="C29" s="6" t="s">
        <v>198</v>
      </c>
      <c r="D29" s="4" t="s">
        <v>200</v>
      </c>
    </row>
    <row r="30" spans="1:4" ht="15" customHeight="1" x14ac:dyDescent="0.35">
      <c r="A30" s="11" t="s">
        <v>219</v>
      </c>
      <c r="B30" s="5"/>
      <c r="C30" s="6" t="s">
        <v>186</v>
      </c>
      <c r="D30" s="4" t="s">
        <v>702</v>
      </c>
    </row>
    <row r="31" spans="1:4" ht="15" customHeight="1" x14ac:dyDescent="0.35">
      <c r="A31" s="11" t="s">
        <v>220</v>
      </c>
      <c r="B31" s="5"/>
      <c r="C31" s="6" t="s">
        <v>484</v>
      </c>
      <c r="D31" s="4" t="s">
        <v>486</v>
      </c>
    </row>
    <row r="32" spans="1:4" ht="15" customHeight="1" x14ac:dyDescent="0.35">
      <c r="A32" s="11" t="s">
        <v>221</v>
      </c>
      <c r="B32" s="5"/>
      <c r="C32" s="6" t="s">
        <v>488</v>
      </c>
      <c r="D32" s="4" t="s">
        <v>490</v>
      </c>
    </row>
    <row r="33" spans="1:4" s="28" customFormat="1" ht="75" customHeight="1" x14ac:dyDescent="0.35">
      <c r="A33" s="16" t="s">
        <v>222</v>
      </c>
      <c r="B33" s="17"/>
      <c r="C33" s="18" t="s">
        <v>197</v>
      </c>
      <c r="D33" s="15" t="s">
        <v>703</v>
      </c>
    </row>
    <row r="34" spans="1:4" s="28" customFormat="1" ht="45" customHeight="1" x14ac:dyDescent="0.35">
      <c r="A34" s="16" t="s">
        <v>223</v>
      </c>
      <c r="B34" s="17"/>
      <c r="C34" s="18" t="s">
        <v>187</v>
      </c>
      <c r="D34" s="15" t="s">
        <v>704</v>
      </c>
    </row>
    <row r="36" spans="1:4" ht="15" customHeight="1" x14ac:dyDescent="0.35">
      <c r="A36" s="11" t="s">
        <v>224</v>
      </c>
      <c r="B36" s="5"/>
      <c r="C36" s="6" t="s">
        <v>491</v>
      </c>
      <c r="D36" s="4" t="s">
        <v>705</v>
      </c>
    </row>
    <row r="37" spans="1:4" ht="15" customHeight="1" x14ac:dyDescent="0.35">
      <c r="A37" s="11" t="s">
        <v>225</v>
      </c>
      <c r="B37" s="5"/>
      <c r="C37" s="6" t="s">
        <v>492</v>
      </c>
      <c r="D37" s="4" t="s">
        <v>706</v>
      </c>
    </row>
    <row r="38" spans="1:4" ht="15" customHeight="1" x14ac:dyDescent="0.35">
      <c r="A38" s="11" t="s">
        <v>226</v>
      </c>
      <c r="B38" s="5"/>
      <c r="C38" s="6" t="s">
        <v>379</v>
      </c>
      <c r="D38" s="4" t="s">
        <v>707</v>
      </c>
    </row>
    <row r="39" spans="1:4" ht="15" customHeight="1" x14ac:dyDescent="0.35">
      <c r="A39" s="11" t="s">
        <v>227</v>
      </c>
      <c r="B39" s="5"/>
      <c r="C39" s="6" t="s">
        <v>376</v>
      </c>
      <c r="D39" s="4" t="s">
        <v>708</v>
      </c>
    </row>
    <row r="40" spans="1:4" ht="15" customHeight="1" x14ac:dyDescent="0.35">
      <c r="A40" s="11" t="s">
        <v>228</v>
      </c>
      <c r="B40" s="5"/>
      <c r="C40" s="6" t="s">
        <v>558</v>
      </c>
      <c r="D40" s="4" t="s">
        <v>681</v>
      </c>
    </row>
    <row r="41" spans="1:4" ht="15" customHeight="1" x14ac:dyDescent="0.35">
      <c r="A41" s="11" t="s">
        <v>229</v>
      </c>
      <c r="B41" s="5"/>
      <c r="C41" s="6" t="s">
        <v>198</v>
      </c>
      <c r="D41" s="4" t="s">
        <v>204</v>
      </c>
    </row>
    <row r="42" spans="1:4" ht="15" customHeight="1" x14ac:dyDescent="0.35">
      <c r="A42" s="11" t="s">
        <v>230</v>
      </c>
      <c r="B42" s="5"/>
      <c r="C42" s="6" t="s">
        <v>186</v>
      </c>
      <c r="D42" s="4" t="s">
        <v>709</v>
      </c>
    </row>
    <row r="43" spans="1:4" ht="15" customHeight="1" x14ac:dyDescent="0.35">
      <c r="A43" s="11" t="s">
        <v>231</v>
      </c>
      <c r="B43" s="5"/>
      <c r="C43" s="6" t="s">
        <v>484</v>
      </c>
      <c r="D43" s="4" t="s">
        <v>487</v>
      </c>
    </row>
    <row r="44" spans="1:4" ht="15" customHeight="1" x14ac:dyDescent="0.35">
      <c r="A44" s="11" t="s">
        <v>232</v>
      </c>
      <c r="B44" s="5"/>
      <c r="C44" s="6" t="s">
        <v>488</v>
      </c>
      <c r="D44" s="4" t="s">
        <v>490</v>
      </c>
    </row>
    <row r="45" spans="1:4" s="28" customFormat="1" ht="75" customHeight="1" x14ac:dyDescent="0.35">
      <c r="A45" s="16" t="s">
        <v>233</v>
      </c>
      <c r="B45" s="17"/>
      <c r="C45" s="18" t="s">
        <v>197</v>
      </c>
      <c r="D45" s="15" t="s">
        <v>710</v>
      </c>
    </row>
    <row r="46" spans="1:4" s="28" customFormat="1" ht="45" customHeight="1" x14ac:dyDescent="0.35">
      <c r="A46" s="16" t="s">
        <v>234</v>
      </c>
      <c r="B46" s="17"/>
      <c r="C46" s="18" t="s">
        <v>187</v>
      </c>
      <c r="D46" s="15" t="s">
        <v>711</v>
      </c>
    </row>
    <row r="48" spans="1:4" ht="15" customHeight="1" x14ac:dyDescent="0.35">
      <c r="A48" s="11" t="s">
        <v>235</v>
      </c>
      <c r="B48" s="5"/>
      <c r="C48" s="6" t="s">
        <v>491</v>
      </c>
      <c r="D48" s="4" t="s">
        <v>712</v>
      </c>
    </row>
    <row r="49" spans="1:4" ht="15" customHeight="1" x14ac:dyDescent="0.35">
      <c r="A49" s="11" t="s">
        <v>236</v>
      </c>
      <c r="B49" s="5"/>
      <c r="C49" s="6" t="s">
        <v>492</v>
      </c>
      <c r="D49" s="4" t="s">
        <v>705</v>
      </c>
    </row>
    <row r="50" spans="1:4" ht="15" customHeight="1" x14ac:dyDescent="0.35">
      <c r="A50" s="11" t="s">
        <v>237</v>
      </c>
      <c r="B50" s="5"/>
      <c r="C50" s="6" t="s">
        <v>380</v>
      </c>
      <c r="D50" s="4" t="s">
        <v>707</v>
      </c>
    </row>
    <row r="51" spans="1:4" ht="15" customHeight="1" x14ac:dyDescent="0.35">
      <c r="A51" s="11" t="s">
        <v>238</v>
      </c>
      <c r="B51" s="5"/>
      <c r="C51" s="6" t="s">
        <v>376</v>
      </c>
      <c r="D51" s="4" t="s">
        <v>708</v>
      </c>
    </row>
    <row r="52" spans="1:4" ht="15" customHeight="1" x14ac:dyDescent="0.35">
      <c r="A52" s="11" t="s">
        <v>239</v>
      </c>
      <c r="B52" s="5"/>
      <c r="C52" s="6" t="s">
        <v>558</v>
      </c>
      <c r="D52" s="4" t="s">
        <v>681</v>
      </c>
    </row>
    <row r="53" spans="1:4" ht="15" customHeight="1" x14ac:dyDescent="0.35">
      <c r="A53" s="11" t="s">
        <v>240</v>
      </c>
      <c r="B53" s="5"/>
      <c r="C53" s="6" t="s">
        <v>198</v>
      </c>
      <c r="D53" s="4" t="s">
        <v>204</v>
      </c>
    </row>
    <row r="54" spans="1:4" ht="15" customHeight="1" x14ac:dyDescent="0.35">
      <c r="A54" s="11" t="s">
        <v>241</v>
      </c>
      <c r="B54" s="5"/>
      <c r="C54" s="6" t="s">
        <v>186</v>
      </c>
      <c r="D54" s="4" t="s">
        <v>709</v>
      </c>
    </row>
    <row r="55" spans="1:4" ht="15" customHeight="1" x14ac:dyDescent="0.35">
      <c r="A55" s="11" t="s">
        <v>242</v>
      </c>
      <c r="B55" s="5"/>
      <c r="C55" s="6" t="s">
        <v>484</v>
      </c>
      <c r="D55" s="4" t="s">
        <v>487</v>
      </c>
    </row>
    <row r="56" spans="1:4" ht="15" customHeight="1" x14ac:dyDescent="0.35">
      <c r="A56" s="11" t="s">
        <v>243</v>
      </c>
      <c r="B56" s="5"/>
      <c r="C56" s="6" t="s">
        <v>488</v>
      </c>
      <c r="D56" s="4" t="s">
        <v>490</v>
      </c>
    </row>
    <row r="57" spans="1:4" s="28" customFormat="1" ht="75" customHeight="1" x14ac:dyDescent="0.35">
      <c r="A57" s="16" t="s">
        <v>244</v>
      </c>
      <c r="B57" s="17"/>
      <c r="C57" s="18" t="s">
        <v>197</v>
      </c>
      <c r="D57" s="15" t="s">
        <v>713</v>
      </c>
    </row>
    <row r="58" spans="1:4" s="28" customFormat="1" ht="45" customHeight="1" x14ac:dyDescent="0.35">
      <c r="A58" s="16" t="s">
        <v>245</v>
      </c>
      <c r="B58" s="17"/>
      <c r="C58" s="18" t="s">
        <v>187</v>
      </c>
      <c r="D58" s="15" t="s">
        <v>714</v>
      </c>
    </row>
    <row r="60" spans="1:4" ht="15" customHeight="1" x14ac:dyDescent="0.35">
      <c r="A60" s="11" t="s">
        <v>246</v>
      </c>
      <c r="B60" s="5"/>
      <c r="C60" s="6" t="s">
        <v>491</v>
      </c>
      <c r="D60" s="4" t="s">
        <v>715</v>
      </c>
    </row>
    <row r="61" spans="1:4" ht="15" customHeight="1" x14ac:dyDescent="0.35">
      <c r="A61" s="11" t="s">
        <v>247</v>
      </c>
      <c r="B61" s="5"/>
      <c r="C61" s="6" t="s">
        <v>492</v>
      </c>
      <c r="D61" s="4" t="s">
        <v>716</v>
      </c>
    </row>
    <row r="62" spans="1:4" ht="15" customHeight="1" x14ac:dyDescent="0.35">
      <c r="A62" s="11" t="s">
        <v>248</v>
      </c>
      <c r="B62" s="5"/>
      <c r="C62" s="6" t="s">
        <v>381</v>
      </c>
      <c r="D62" s="4" t="s">
        <v>717</v>
      </c>
    </row>
    <row r="63" spans="1:4" ht="15" customHeight="1" x14ac:dyDescent="0.35">
      <c r="A63" s="11" t="s">
        <v>249</v>
      </c>
      <c r="B63" s="5"/>
      <c r="C63" s="6" t="s">
        <v>376</v>
      </c>
      <c r="D63" s="4" t="s">
        <v>680</v>
      </c>
    </row>
    <row r="64" spans="1:4" ht="15" customHeight="1" x14ac:dyDescent="0.35">
      <c r="A64" s="11" t="s">
        <v>250</v>
      </c>
      <c r="B64" s="5"/>
      <c r="C64" s="6" t="s">
        <v>558</v>
      </c>
      <c r="D64" s="4" t="s">
        <v>681</v>
      </c>
    </row>
    <row r="65" spans="1:4" ht="15" customHeight="1" x14ac:dyDescent="0.35">
      <c r="A65" s="11" t="s">
        <v>251</v>
      </c>
      <c r="B65" s="5"/>
      <c r="C65" s="6" t="s">
        <v>198</v>
      </c>
      <c r="D65" s="4" t="s">
        <v>205</v>
      </c>
    </row>
    <row r="66" spans="1:4" ht="15" customHeight="1" x14ac:dyDescent="0.35">
      <c r="A66" s="11" t="s">
        <v>252</v>
      </c>
      <c r="B66" s="5"/>
      <c r="C66" s="6" t="s">
        <v>186</v>
      </c>
      <c r="D66" s="4" t="s">
        <v>718</v>
      </c>
    </row>
    <row r="67" spans="1:4" ht="15" customHeight="1" x14ac:dyDescent="0.35">
      <c r="A67" s="11" t="s">
        <v>253</v>
      </c>
      <c r="B67" s="5"/>
      <c r="C67" s="6" t="s">
        <v>484</v>
      </c>
      <c r="D67" s="4" t="s">
        <v>487</v>
      </c>
    </row>
    <row r="68" spans="1:4" ht="15" customHeight="1" x14ac:dyDescent="0.35">
      <c r="A68" s="11" t="s">
        <v>254</v>
      </c>
      <c r="B68" s="5"/>
      <c r="C68" s="6" t="s">
        <v>488</v>
      </c>
      <c r="D68" s="4" t="s">
        <v>353</v>
      </c>
    </row>
    <row r="69" spans="1:4" s="28" customFormat="1" ht="75" customHeight="1" x14ac:dyDescent="0.35">
      <c r="A69" s="16" t="s">
        <v>255</v>
      </c>
      <c r="B69" s="17"/>
      <c r="C69" s="18" t="s">
        <v>197</v>
      </c>
      <c r="D69" s="15" t="s">
        <v>719</v>
      </c>
    </row>
    <row r="70" spans="1:4" s="28" customFormat="1" ht="45" customHeight="1" x14ac:dyDescent="0.35">
      <c r="A70" s="16" t="s">
        <v>256</v>
      </c>
      <c r="B70" s="17"/>
      <c r="C70" s="18" t="s">
        <v>187</v>
      </c>
      <c r="D70" s="15" t="s">
        <v>720</v>
      </c>
    </row>
    <row r="72" spans="1:4" ht="15" customHeight="1" x14ac:dyDescent="0.35">
      <c r="A72" s="11" t="s">
        <v>257</v>
      </c>
      <c r="B72" s="5"/>
      <c r="C72" s="6" t="s">
        <v>491</v>
      </c>
      <c r="D72" s="4" t="s">
        <v>721</v>
      </c>
    </row>
    <row r="73" spans="1:4" ht="15" customHeight="1" x14ac:dyDescent="0.35">
      <c r="A73" s="11" t="s">
        <v>258</v>
      </c>
      <c r="B73" s="5"/>
      <c r="C73" s="6" t="s">
        <v>492</v>
      </c>
      <c r="D73" s="4" t="s">
        <v>722</v>
      </c>
    </row>
    <row r="74" spans="1:4" ht="15" customHeight="1" x14ac:dyDescent="0.35">
      <c r="A74" s="11" t="s">
        <v>259</v>
      </c>
      <c r="B74" s="5"/>
      <c r="C74" s="6" t="s">
        <v>382</v>
      </c>
      <c r="D74" s="4" t="s">
        <v>723</v>
      </c>
    </row>
    <row r="75" spans="1:4" ht="15" customHeight="1" x14ac:dyDescent="0.35">
      <c r="A75" s="11" t="s">
        <v>260</v>
      </c>
      <c r="B75" s="5"/>
      <c r="C75" s="6" t="s">
        <v>376</v>
      </c>
      <c r="D75" s="4" t="s">
        <v>724</v>
      </c>
    </row>
    <row r="76" spans="1:4" ht="15" customHeight="1" x14ac:dyDescent="0.35">
      <c r="A76" s="11" t="s">
        <v>261</v>
      </c>
      <c r="B76" s="5"/>
      <c r="C76" s="6" t="s">
        <v>558</v>
      </c>
      <c r="D76" s="4" t="s">
        <v>725</v>
      </c>
    </row>
    <row r="77" spans="1:4" ht="15" customHeight="1" x14ac:dyDescent="0.35">
      <c r="A77" s="11" t="s">
        <v>262</v>
      </c>
      <c r="B77" s="5"/>
      <c r="C77" s="6" t="s">
        <v>198</v>
      </c>
      <c r="D77" s="4" t="s">
        <v>205</v>
      </c>
    </row>
    <row r="78" spans="1:4" ht="15" customHeight="1" x14ac:dyDescent="0.35">
      <c r="A78" s="11" t="s">
        <v>263</v>
      </c>
      <c r="B78" s="5"/>
      <c r="C78" s="6" t="s">
        <v>186</v>
      </c>
      <c r="D78" s="4" t="s">
        <v>718</v>
      </c>
    </row>
    <row r="79" spans="1:4" ht="15" customHeight="1" x14ac:dyDescent="0.35">
      <c r="A79" s="11" t="s">
        <v>264</v>
      </c>
      <c r="B79" s="5"/>
      <c r="C79" s="6" t="s">
        <v>484</v>
      </c>
      <c r="D79" s="4" t="s">
        <v>487</v>
      </c>
    </row>
    <row r="80" spans="1:4" ht="15" customHeight="1" x14ac:dyDescent="0.35">
      <c r="A80" s="11" t="s">
        <v>265</v>
      </c>
      <c r="B80" s="5"/>
      <c r="C80" s="6" t="s">
        <v>488</v>
      </c>
      <c r="D80" s="4" t="s">
        <v>490</v>
      </c>
    </row>
    <row r="81" spans="1:4" s="28" customFormat="1" ht="75" customHeight="1" x14ac:dyDescent="0.35">
      <c r="A81" s="16" t="s">
        <v>266</v>
      </c>
      <c r="B81" s="17"/>
      <c r="C81" s="18" t="s">
        <v>197</v>
      </c>
      <c r="D81" s="15" t="s">
        <v>726</v>
      </c>
    </row>
    <row r="82" spans="1:4" s="28" customFormat="1" ht="45" customHeight="1" x14ac:dyDescent="0.35">
      <c r="A82" s="16" t="s">
        <v>267</v>
      </c>
      <c r="B82" s="17"/>
      <c r="C82" s="18" t="s">
        <v>187</v>
      </c>
      <c r="D82" s="15" t="s">
        <v>727</v>
      </c>
    </row>
    <row r="84" spans="1:4" ht="15" customHeight="1" x14ac:dyDescent="0.35">
      <c r="A84" s="11" t="s">
        <v>268</v>
      </c>
      <c r="B84" s="5"/>
      <c r="C84" s="6" t="s">
        <v>491</v>
      </c>
      <c r="D84" s="30" t="s">
        <v>658</v>
      </c>
    </row>
    <row r="85" spans="1:4" ht="15" customHeight="1" x14ac:dyDescent="0.35">
      <c r="A85" s="11" t="s">
        <v>269</v>
      </c>
      <c r="B85" s="5"/>
      <c r="C85" s="6" t="s">
        <v>492</v>
      </c>
      <c r="D85" s="30" t="s">
        <v>658</v>
      </c>
    </row>
    <row r="86" spans="1:4" ht="15" customHeight="1" x14ac:dyDescent="0.35">
      <c r="A86" s="11" t="s">
        <v>270</v>
      </c>
      <c r="B86" s="5"/>
      <c r="C86" s="6" t="s">
        <v>383</v>
      </c>
      <c r="D86" s="4"/>
    </row>
    <row r="87" spans="1:4" ht="15" customHeight="1" x14ac:dyDescent="0.35">
      <c r="A87" s="11" t="s">
        <v>271</v>
      </c>
      <c r="B87" s="5"/>
      <c r="C87" s="6" t="s">
        <v>376</v>
      </c>
      <c r="D87" s="4"/>
    </row>
    <row r="88" spans="1:4" ht="15" customHeight="1" x14ac:dyDescent="0.35">
      <c r="A88" s="11" t="s">
        <v>272</v>
      </c>
      <c r="B88" s="5"/>
      <c r="C88" s="6" t="s">
        <v>558</v>
      </c>
      <c r="D88" s="4"/>
    </row>
    <row r="89" spans="1:4" ht="15" customHeight="1" x14ac:dyDescent="0.35">
      <c r="A89" s="11" t="s">
        <v>273</v>
      </c>
      <c r="B89" s="5"/>
      <c r="C89" s="6" t="s">
        <v>198</v>
      </c>
      <c r="D89" s="4"/>
    </row>
    <row r="90" spans="1:4" ht="15" customHeight="1" x14ac:dyDescent="0.35">
      <c r="A90" s="11" t="s">
        <v>274</v>
      </c>
      <c r="B90" s="5"/>
      <c r="C90" s="6" t="s">
        <v>186</v>
      </c>
      <c r="D90" s="4"/>
    </row>
    <row r="91" spans="1:4" ht="15" customHeight="1" x14ac:dyDescent="0.35">
      <c r="A91" s="11" t="s">
        <v>275</v>
      </c>
      <c r="B91" s="5"/>
      <c r="C91" s="6" t="s">
        <v>484</v>
      </c>
      <c r="D91" s="4"/>
    </row>
    <row r="92" spans="1:4" ht="15" customHeight="1" x14ac:dyDescent="0.35">
      <c r="A92" s="11" t="s">
        <v>276</v>
      </c>
      <c r="B92" s="5"/>
      <c r="C92" s="6" t="s">
        <v>488</v>
      </c>
      <c r="D92" s="4"/>
    </row>
    <row r="93" spans="1:4" s="28" customFormat="1" ht="75" customHeight="1" x14ac:dyDescent="0.35">
      <c r="A93" s="16" t="s">
        <v>277</v>
      </c>
      <c r="B93" s="17"/>
      <c r="C93" s="18" t="s">
        <v>197</v>
      </c>
      <c r="D93" s="15"/>
    </row>
    <row r="94" spans="1:4" s="28" customFormat="1" ht="45" customHeight="1" x14ac:dyDescent="0.35">
      <c r="A94" s="16" t="s">
        <v>278</v>
      </c>
      <c r="B94" s="17"/>
      <c r="C94" s="18" t="s">
        <v>187</v>
      </c>
      <c r="D94" s="15"/>
    </row>
    <row r="96" spans="1:4" ht="15" customHeight="1" x14ac:dyDescent="0.35">
      <c r="A96" s="11" t="s">
        <v>279</v>
      </c>
      <c r="B96" s="5"/>
      <c r="C96" s="6" t="s">
        <v>491</v>
      </c>
      <c r="D96" s="30" t="s">
        <v>658</v>
      </c>
    </row>
    <row r="97" spans="1:4" ht="15" customHeight="1" x14ac:dyDescent="0.35">
      <c r="A97" s="11" t="s">
        <v>280</v>
      </c>
      <c r="B97" s="5"/>
      <c r="C97" s="6" t="s">
        <v>492</v>
      </c>
      <c r="D97" s="30" t="s">
        <v>658</v>
      </c>
    </row>
    <row r="98" spans="1:4" ht="15" customHeight="1" x14ac:dyDescent="0.35">
      <c r="A98" s="11" t="s">
        <v>281</v>
      </c>
      <c r="B98" s="5"/>
      <c r="C98" s="6" t="s">
        <v>384</v>
      </c>
      <c r="D98" s="4"/>
    </row>
    <row r="99" spans="1:4" ht="15" customHeight="1" x14ac:dyDescent="0.35">
      <c r="A99" s="11" t="s">
        <v>282</v>
      </c>
      <c r="B99" s="5"/>
      <c r="C99" s="6" t="s">
        <v>376</v>
      </c>
      <c r="D99" s="4"/>
    </row>
    <row r="100" spans="1:4" ht="15" customHeight="1" x14ac:dyDescent="0.35">
      <c r="A100" s="11" t="s">
        <v>283</v>
      </c>
      <c r="B100" s="5"/>
      <c r="C100" s="6" t="s">
        <v>558</v>
      </c>
      <c r="D100" s="4"/>
    </row>
    <row r="101" spans="1:4" ht="15" customHeight="1" x14ac:dyDescent="0.35">
      <c r="A101" s="11" t="s">
        <v>284</v>
      </c>
      <c r="B101" s="5"/>
      <c r="C101" s="6" t="s">
        <v>198</v>
      </c>
      <c r="D101" s="4"/>
    </row>
    <row r="102" spans="1:4" ht="15" customHeight="1" x14ac:dyDescent="0.35">
      <c r="A102" s="11" t="s">
        <v>285</v>
      </c>
      <c r="B102" s="5"/>
      <c r="C102" s="6" t="s">
        <v>186</v>
      </c>
      <c r="D102" s="4"/>
    </row>
    <row r="103" spans="1:4" ht="15" customHeight="1" x14ac:dyDescent="0.35">
      <c r="A103" s="11" t="s">
        <v>286</v>
      </c>
      <c r="B103" s="5"/>
      <c r="C103" s="6" t="s">
        <v>484</v>
      </c>
      <c r="D103" s="4"/>
    </row>
    <row r="104" spans="1:4" ht="15" customHeight="1" x14ac:dyDescent="0.35">
      <c r="A104" s="11" t="s">
        <v>287</v>
      </c>
      <c r="B104" s="5"/>
      <c r="C104" s="6" t="s">
        <v>488</v>
      </c>
      <c r="D104" s="4"/>
    </row>
    <row r="105" spans="1:4" s="28" customFormat="1" ht="75" customHeight="1" x14ac:dyDescent="0.35">
      <c r="A105" s="16" t="s">
        <v>288</v>
      </c>
      <c r="B105" s="17"/>
      <c r="C105" s="18" t="s">
        <v>197</v>
      </c>
      <c r="D105" s="15"/>
    </row>
    <row r="106" spans="1:4" s="28" customFormat="1" ht="45" customHeight="1" x14ac:dyDescent="0.35">
      <c r="A106" s="16" t="s">
        <v>289</v>
      </c>
      <c r="B106" s="17"/>
      <c r="C106" s="18" t="s">
        <v>187</v>
      </c>
      <c r="D106" s="15"/>
    </row>
    <row r="108" spans="1:4" ht="15" customHeight="1" x14ac:dyDescent="0.35">
      <c r="A108" s="11" t="s">
        <v>290</v>
      </c>
      <c r="B108" s="5"/>
      <c r="C108" s="6" t="s">
        <v>491</v>
      </c>
      <c r="D108" s="30" t="s">
        <v>658</v>
      </c>
    </row>
    <row r="109" spans="1:4" ht="15" customHeight="1" x14ac:dyDescent="0.35">
      <c r="A109" s="11" t="s">
        <v>291</v>
      </c>
      <c r="B109" s="5"/>
      <c r="C109" s="6" t="s">
        <v>492</v>
      </c>
      <c r="D109" s="30" t="s">
        <v>658</v>
      </c>
    </row>
    <row r="110" spans="1:4" ht="15" customHeight="1" x14ac:dyDescent="0.35">
      <c r="A110" s="11" t="s">
        <v>327</v>
      </c>
      <c r="B110" s="5"/>
      <c r="C110" s="6" t="s">
        <v>385</v>
      </c>
      <c r="D110" s="4"/>
    </row>
    <row r="111" spans="1:4" ht="15" customHeight="1" x14ac:dyDescent="0.35">
      <c r="A111" s="11" t="s">
        <v>328</v>
      </c>
      <c r="B111" s="5"/>
      <c r="C111" s="6" t="s">
        <v>376</v>
      </c>
      <c r="D111" s="4"/>
    </row>
    <row r="112" spans="1:4" ht="15" customHeight="1" x14ac:dyDescent="0.35">
      <c r="A112" s="11" t="s">
        <v>329</v>
      </c>
      <c r="B112" s="5"/>
      <c r="C112" s="6" t="s">
        <v>558</v>
      </c>
      <c r="D112" s="4"/>
    </row>
    <row r="113" spans="1:4" ht="15" customHeight="1" x14ac:dyDescent="0.35">
      <c r="A113" s="11" t="s">
        <v>330</v>
      </c>
      <c r="B113" s="5"/>
      <c r="C113" s="6" t="s">
        <v>198</v>
      </c>
      <c r="D113" s="4"/>
    </row>
    <row r="114" spans="1:4" ht="15" customHeight="1" x14ac:dyDescent="0.35">
      <c r="A114" s="11" t="s">
        <v>331</v>
      </c>
      <c r="B114" s="5"/>
      <c r="C114" s="6" t="s">
        <v>186</v>
      </c>
      <c r="D114" s="4"/>
    </row>
    <row r="115" spans="1:4" ht="15" customHeight="1" x14ac:dyDescent="0.35">
      <c r="A115" s="11" t="s">
        <v>332</v>
      </c>
      <c r="B115" s="5"/>
      <c r="C115" s="6" t="s">
        <v>484</v>
      </c>
      <c r="D115" s="4"/>
    </row>
    <row r="116" spans="1:4" ht="15" customHeight="1" x14ac:dyDescent="0.35">
      <c r="A116" s="11" t="s">
        <v>333</v>
      </c>
      <c r="B116" s="5"/>
      <c r="C116" s="6" t="s">
        <v>488</v>
      </c>
      <c r="D116" s="4"/>
    </row>
    <row r="117" spans="1:4" s="28" customFormat="1" ht="75" customHeight="1" x14ac:dyDescent="0.35">
      <c r="A117" s="16" t="s">
        <v>334</v>
      </c>
      <c r="B117" s="17"/>
      <c r="C117" s="18" t="s">
        <v>197</v>
      </c>
      <c r="D117" s="15"/>
    </row>
    <row r="118" spans="1:4" s="28" customFormat="1" ht="45" customHeight="1" x14ac:dyDescent="0.35">
      <c r="A118" s="16" t="s">
        <v>335</v>
      </c>
      <c r="B118" s="17"/>
      <c r="C118" s="18" t="s">
        <v>187</v>
      </c>
      <c r="D118" s="15"/>
    </row>
    <row r="120" spans="1:4" ht="15" customHeight="1" x14ac:dyDescent="0.35">
      <c r="A120" s="11" t="s">
        <v>336</v>
      </c>
      <c r="B120" s="5"/>
      <c r="C120" s="6" t="s">
        <v>491</v>
      </c>
      <c r="D120" s="30" t="s">
        <v>658</v>
      </c>
    </row>
    <row r="121" spans="1:4" ht="15" customHeight="1" x14ac:dyDescent="0.35">
      <c r="A121" s="11" t="s">
        <v>337</v>
      </c>
      <c r="B121" s="5"/>
      <c r="C121" s="6" t="s">
        <v>492</v>
      </c>
      <c r="D121" s="30" t="s">
        <v>658</v>
      </c>
    </row>
    <row r="122" spans="1:4" ht="15" customHeight="1" x14ac:dyDescent="0.35">
      <c r="A122" s="11" t="s">
        <v>338</v>
      </c>
      <c r="B122" s="5"/>
      <c r="C122" s="6" t="s">
        <v>386</v>
      </c>
      <c r="D122" s="4"/>
    </row>
    <row r="123" spans="1:4" ht="15" customHeight="1" x14ac:dyDescent="0.35">
      <c r="A123" s="11" t="s">
        <v>339</v>
      </c>
      <c r="B123" s="5"/>
      <c r="C123" s="6" t="s">
        <v>376</v>
      </c>
      <c r="D123" s="4"/>
    </row>
    <row r="124" spans="1:4" ht="15" customHeight="1" x14ac:dyDescent="0.35">
      <c r="A124" s="11" t="s">
        <v>340</v>
      </c>
      <c r="B124" s="5"/>
      <c r="C124" s="6" t="s">
        <v>558</v>
      </c>
      <c r="D124" s="4"/>
    </row>
    <row r="125" spans="1:4" ht="15" customHeight="1" x14ac:dyDescent="0.35">
      <c r="A125" s="11" t="s">
        <v>341</v>
      </c>
      <c r="B125" s="5"/>
      <c r="C125" s="6" t="s">
        <v>198</v>
      </c>
      <c r="D125" s="4"/>
    </row>
    <row r="126" spans="1:4" ht="15" customHeight="1" x14ac:dyDescent="0.35">
      <c r="A126" s="11" t="s">
        <v>342</v>
      </c>
      <c r="B126" s="5"/>
      <c r="C126" s="6" t="s">
        <v>186</v>
      </c>
      <c r="D126" s="4"/>
    </row>
    <row r="127" spans="1:4" ht="15" customHeight="1" x14ac:dyDescent="0.35">
      <c r="A127" s="11" t="s">
        <v>343</v>
      </c>
      <c r="B127" s="5"/>
      <c r="C127" s="6" t="s">
        <v>484</v>
      </c>
      <c r="D127" s="4"/>
    </row>
    <row r="128" spans="1:4" ht="15" customHeight="1" x14ac:dyDescent="0.35">
      <c r="A128" s="11" t="s">
        <v>344</v>
      </c>
      <c r="B128" s="5"/>
      <c r="C128" s="6" t="s">
        <v>488</v>
      </c>
      <c r="D128" s="4"/>
    </row>
    <row r="129" spans="1:4" s="28" customFormat="1" ht="75" customHeight="1" x14ac:dyDescent="0.35">
      <c r="A129" s="16" t="s">
        <v>345</v>
      </c>
      <c r="B129" s="17"/>
      <c r="C129" s="18" t="s">
        <v>197</v>
      </c>
      <c r="D129" s="15"/>
    </row>
    <row r="130" spans="1:4" s="28" customFormat="1" ht="45" customHeight="1" x14ac:dyDescent="0.35">
      <c r="A130" s="16" t="s">
        <v>346</v>
      </c>
      <c r="B130" s="17"/>
      <c r="C130" s="18" t="s">
        <v>187</v>
      </c>
      <c r="D130" s="15"/>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topLeftCell="A8" zoomScaleNormal="100" workbookViewId="0">
      <selection activeCell="D33" sqref="D33"/>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4" t="s">
        <v>210</v>
      </c>
      <c r="D6" s="34"/>
    </row>
    <row r="7" spans="1:4" ht="15" customHeight="1" x14ac:dyDescent="0.35">
      <c r="A7" s="11" t="s">
        <v>121</v>
      </c>
      <c r="B7" s="5"/>
      <c r="C7" s="6" t="s">
        <v>105</v>
      </c>
      <c r="D7" s="12" t="str">
        <f>candidatura</f>
        <v xml:space="preserve">Claudio Daniele Brugnoni; </v>
      </c>
    </row>
    <row r="8" spans="1:4" ht="15" customHeight="1" x14ac:dyDescent="0.35">
      <c r="A8" s="11"/>
      <c r="B8" s="5"/>
      <c r="C8" s="5"/>
      <c r="D8" s="5"/>
    </row>
    <row r="9" spans="1:4" ht="20" x14ac:dyDescent="0.35">
      <c r="A9" s="11"/>
      <c r="B9" s="5"/>
      <c r="C9" s="31" t="s">
        <v>661</v>
      </c>
      <c r="D9" s="31"/>
    </row>
    <row r="10" spans="1:4" ht="30" customHeight="1" x14ac:dyDescent="0.35">
      <c r="A10" s="11"/>
      <c r="B10" s="5"/>
      <c r="C10" s="35" t="s">
        <v>478</v>
      </c>
      <c r="D10" s="35"/>
    </row>
    <row r="11" spans="1:4" ht="15" customHeight="1" x14ac:dyDescent="0.35">
      <c r="A11" s="11"/>
      <c r="B11" s="5"/>
      <c r="C11" s="5"/>
      <c r="D11" s="5"/>
    </row>
    <row r="12" spans="1:4" ht="15" customHeight="1" x14ac:dyDescent="0.35">
      <c r="A12" s="11" t="s">
        <v>402</v>
      </c>
      <c r="B12" s="5"/>
      <c r="C12" s="6" t="s">
        <v>387</v>
      </c>
      <c r="D12" s="4" t="s">
        <v>723</v>
      </c>
    </row>
    <row r="13" spans="1:4" ht="15" customHeight="1" x14ac:dyDescent="0.35">
      <c r="A13" s="11" t="s">
        <v>403</v>
      </c>
      <c r="B13" s="5"/>
      <c r="C13" s="6" t="s">
        <v>388</v>
      </c>
      <c r="D13" s="4" t="s">
        <v>392</v>
      </c>
    </row>
    <row r="14" spans="1:4" ht="15" customHeight="1" x14ac:dyDescent="0.35">
      <c r="A14" s="11" t="s">
        <v>404</v>
      </c>
      <c r="B14" s="5"/>
      <c r="C14" s="6" t="s">
        <v>389</v>
      </c>
      <c r="D14" s="4" t="s">
        <v>728</v>
      </c>
    </row>
    <row r="15" spans="1:4" ht="60" customHeight="1" x14ac:dyDescent="0.35">
      <c r="A15" s="16" t="s">
        <v>405</v>
      </c>
      <c r="B15" s="17"/>
      <c r="C15" s="18" t="s">
        <v>672</v>
      </c>
      <c r="D15" s="15" t="s">
        <v>729</v>
      </c>
    </row>
    <row r="16" spans="1:4" ht="60" customHeight="1" x14ac:dyDescent="0.35">
      <c r="A16" s="16" t="s">
        <v>406</v>
      </c>
      <c r="B16" s="17"/>
      <c r="C16" s="18" t="s">
        <v>673</v>
      </c>
      <c r="D16" s="15" t="s">
        <v>730</v>
      </c>
    </row>
    <row r="17" spans="1:4" ht="15" customHeight="1" x14ac:dyDescent="0.35">
      <c r="A17" s="11" t="s">
        <v>407</v>
      </c>
      <c r="B17" s="5"/>
      <c r="C17" s="6" t="s">
        <v>348</v>
      </c>
      <c r="D17" s="4" t="s">
        <v>731</v>
      </c>
    </row>
    <row r="18" spans="1:4" ht="15" customHeight="1" x14ac:dyDescent="0.35">
      <c r="A18" s="11" t="s">
        <v>408</v>
      </c>
      <c r="B18" s="5"/>
      <c r="C18" s="6" t="s">
        <v>390</v>
      </c>
      <c r="D18" s="4" t="s">
        <v>399</v>
      </c>
    </row>
    <row r="19" spans="1:4" ht="15" customHeight="1" x14ac:dyDescent="0.35">
      <c r="A19" s="11" t="s">
        <v>409</v>
      </c>
      <c r="B19" s="5"/>
      <c r="C19" s="6" t="s">
        <v>391</v>
      </c>
      <c r="D19" s="4" t="s">
        <v>302</v>
      </c>
    </row>
    <row r="20" spans="1:4" ht="15" customHeight="1" x14ac:dyDescent="0.35">
      <c r="A20" s="11"/>
      <c r="B20" s="5"/>
      <c r="C20" s="5"/>
      <c r="D20" s="5"/>
    </row>
    <row r="21" spans="1:4" ht="15" customHeight="1" x14ac:dyDescent="0.35">
      <c r="A21" s="11" t="s">
        <v>410</v>
      </c>
      <c r="B21" s="5"/>
      <c r="C21" s="6" t="s">
        <v>387</v>
      </c>
      <c r="D21" s="4" t="s">
        <v>735</v>
      </c>
    </row>
    <row r="22" spans="1:4" ht="15" customHeight="1" x14ac:dyDescent="0.35">
      <c r="A22" s="11" t="s">
        <v>411</v>
      </c>
      <c r="B22" s="5"/>
      <c r="C22" s="6" t="s">
        <v>388</v>
      </c>
      <c r="D22" s="4" t="s">
        <v>736</v>
      </c>
    </row>
    <row r="23" spans="1:4" ht="15" customHeight="1" x14ac:dyDescent="0.35">
      <c r="A23" s="11" t="s">
        <v>412</v>
      </c>
      <c r="B23" s="5"/>
      <c r="C23" s="6" t="s">
        <v>389</v>
      </c>
      <c r="D23" s="4" t="s">
        <v>676</v>
      </c>
    </row>
    <row r="24" spans="1:4" ht="60" customHeight="1" x14ac:dyDescent="0.35">
      <c r="A24" s="16" t="s">
        <v>413</v>
      </c>
      <c r="B24" s="17"/>
      <c r="C24" s="18" t="s">
        <v>674</v>
      </c>
      <c r="D24" s="15"/>
    </row>
    <row r="25" spans="1:4" ht="60" customHeight="1" x14ac:dyDescent="0.35">
      <c r="A25" s="16" t="s">
        <v>414</v>
      </c>
      <c r="B25" s="17"/>
      <c r="C25" s="18" t="s">
        <v>673</v>
      </c>
      <c r="D25" s="15" t="s">
        <v>738</v>
      </c>
    </row>
    <row r="26" spans="1:4" ht="15" customHeight="1" x14ac:dyDescent="0.35">
      <c r="A26" s="11" t="s">
        <v>415</v>
      </c>
      <c r="B26" s="5"/>
      <c r="C26" s="6" t="s">
        <v>348</v>
      </c>
      <c r="D26" s="4" t="s">
        <v>737</v>
      </c>
    </row>
    <row r="27" spans="1:4" ht="15" customHeight="1" x14ac:dyDescent="0.35">
      <c r="A27" s="11" t="s">
        <v>416</v>
      </c>
      <c r="B27" s="5"/>
      <c r="C27" s="6" t="s">
        <v>390</v>
      </c>
      <c r="D27" s="4" t="s">
        <v>397</v>
      </c>
    </row>
    <row r="28" spans="1:4" ht="15" customHeight="1" x14ac:dyDescent="0.35">
      <c r="A28" s="11" t="s">
        <v>417</v>
      </c>
      <c r="B28" s="5"/>
      <c r="C28" s="6" t="s">
        <v>391</v>
      </c>
      <c r="D28" s="4" t="s">
        <v>302</v>
      </c>
    </row>
    <row r="29" spans="1:4" ht="15" customHeight="1" x14ac:dyDescent="0.35">
      <c r="A29" s="11"/>
      <c r="B29" s="5"/>
      <c r="C29" s="5"/>
      <c r="D29" s="5"/>
    </row>
    <row r="30" spans="1:4" ht="15" customHeight="1" x14ac:dyDescent="0.35">
      <c r="A30" s="11" t="s">
        <v>418</v>
      </c>
      <c r="B30" s="5"/>
      <c r="C30" s="6" t="s">
        <v>387</v>
      </c>
      <c r="D30" s="4" t="s">
        <v>723</v>
      </c>
    </row>
    <row r="31" spans="1:4" ht="15" customHeight="1" x14ac:dyDescent="0.35">
      <c r="A31" s="11" t="s">
        <v>419</v>
      </c>
      <c r="B31" s="5"/>
      <c r="C31" s="6" t="s">
        <v>388</v>
      </c>
      <c r="D31" s="4" t="s">
        <v>392</v>
      </c>
    </row>
    <row r="32" spans="1:4" ht="15" customHeight="1" x14ac:dyDescent="0.35">
      <c r="A32" s="11" t="s">
        <v>420</v>
      </c>
      <c r="B32" s="5"/>
      <c r="C32" s="6" t="s">
        <v>389</v>
      </c>
      <c r="D32" s="4" t="s">
        <v>395</v>
      </c>
    </row>
    <row r="33" spans="1:4" ht="60" customHeight="1" x14ac:dyDescent="0.35">
      <c r="A33" s="16" t="s">
        <v>421</v>
      </c>
      <c r="B33" s="17"/>
      <c r="C33" s="18" t="s">
        <v>675</v>
      </c>
      <c r="D33" s="15" t="s">
        <v>732</v>
      </c>
    </row>
    <row r="34" spans="1:4" ht="60" customHeight="1" x14ac:dyDescent="0.35">
      <c r="A34" s="16" t="s">
        <v>422</v>
      </c>
      <c r="B34" s="17"/>
      <c r="C34" s="18" t="s">
        <v>673</v>
      </c>
      <c r="D34" s="15" t="s">
        <v>733</v>
      </c>
    </row>
    <row r="35" spans="1:4" ht="15" customHeight="1" x14ac:dyDescent="0.35">
      <c r="A35" s="11" t="s">
        <v>423</v>
      </c>
      <c r="B35" s="5"/>
      <c r="C35" s="6" t="s">
        <v>348</v>
      </c>
      <c r="D35" s="4" t="s">
        <v>734</v>
      </c>
    </row>
    <row r="36" spans="1:4" ht="15" customHeight="1" x14ac:dyDescent="0.35">
      <c r="A36" s="11" t="s">
        <v>424</v>
      </c>
      <c r="B36" s="5"/>
      <c r="C36" s="6" t="s">
        <v>390</v>
      </c>
      <c r="D36" s="4" t="s">
        <v>401</v>
      </c>
    </row>
    <row r="37" spans="1:4" ht="15" customHeight="1" x14ac:dyDescent="0.35">
      <c r="A37" s="11" t="s">
        <v>425</v>
      </c>
      <c r="B37" s="5"/>
      <c r="C37" s="6" t="s">
        <v>391</v>
      </c>
      <c r="D37" s="4" t="s">
        <v>302</v>
      </c>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topLeftCell="A49" zoomScaleNormal="100" workbookViewId="0">
      <selection activeCell="D50" sqref="D50"/>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4" t="s">
        <v>122</v>
      </c>
      <c r="D6" s="34"/>
    </row>
    <row r="7" spans="1:4" ht="15" customHeight="1" x14ac:dyDescent="0.35">
      <c r="A7" s="11" t="s">
        <v>123</v>
      </c>
      <c r="B7" s="5"/>
      <c r="C7" s="6" t="s">
        <v>105</v>
      </c>
      <c r="D7" s="12" t="str">
        <f>candidatura</f>
        <v xml:space="preserve">Claudio Daniele Brugnoni; </v>
      </c>
    </row>
    <row r="8" spans="1:4" ht="15" customHeight="1" x14ac:dyDescent="0.35">
      <c r="A8" s="11"/>
      <c r="B8" s="5"/>
      <c r="C8" s="5"/>
      <c r="D8" s="5"/>
    </row>
    <row r="9" spans="1:4" ht="20" x14ac:dyDescent="0.35">
      <c r="A9" s="11"/>
      <c r="B9" s="5"/>
      <c r="C9" s="31" t="s">
        <v>479</v>
      </c>
      <c r="D9" s="31"/>
    </row>
    <row r="10" spans="1:4" ht="15" customHeight="1" x14ac:dyDescent="0.35">
      <c r="A10" s="11"/>
      <c r="B10" s="5"/>
      <c r="C10" s="5"/>
      <c r="D10" s="5"/>
    </row>
    <row r="11" spans="1:4" ht="15" customHeight="1" x14ac:dyDescent="0.35">
      <c r="A11" s="11" t="s">
        <v>432</v>
      </c>
      <c r="B11" s="5"/>
      <c r="C11" s="6" t="s">
        <v>353</v>
      </c>
      <c r="D11" s="12" t="str">
        <f>spec_principale</f>
        <v>TECNOLOGIE_INDUSTRIALI_ABILITANTI</v>
      </c>
    </row>
    <row r="12" spans="1:4" ht="15" customHeight="1" x14ac:dyDescent="0.35">
      <c r="A12" s="11" t="s">
        <v>433</v>
      </c>
      <c r="B12" s="5"/>
      <c r="C12" s="6" t="s">
        <v>355</v>
      </c>
      <c r="D12" s="12" t="str">
        <f>ads1_principale</f>
        <v>TIA1 ICT</v>
      </c>
    </row>
    <row r="13" spans="1:4" ht="15" customHeight="1" x14ac:dyDescent="0.35">
      <c r="A13" s="11" t="s">
        <v>434</v>
      </c>
      <c r="B13" s="5"/>
      <c r="C13" s="6" t="s">
        <v>356</v>
      </c>
      <c r="D13" s="12" t="str">
        <f>ads1_secondaria</f>
        <v>TIA4 Materiali avanzati</v>
      </c>
    </row>
    <row r="14" spans="1:4" ht="15" customHeight="1" x14ac:dyDescent="0.35">
      <c r="A14" s="11" t="s">
        <v>435</v>
      </c>
      <c r="B14" s="5"/>
      <c r="C14" s="6" t="s">
        <v>474</v>
      </c>
      <c r="D14" s="12" t="str">
        <f>ads1_terziaria</f>
        <v>TIA8 Tecnologie di produzione avanzata</v>
      </c>
    </row>
    <row r="15" spans="1:4" ht="15" customHeight="1" x14ac:dyDescent="0.35">
      <c r="A15" s="11"/>
      <c r="B15" s="5"/>
      <c r="C15" s="5"/>
      <c r="D15" s="5"/>
    </row>
    <row r="16" spans="1:4" ht="15" customHeight="1" x14ac:dyDescent="0.35">
      <c r="A16" s="11" t="s">
        <v>436</v>
      </c>
      <c r="B16" s="5"/>
      <c r="C16" s="6" t="s">
        <v>363</v>
      </c>
      <c r="D16" s="12" t="str">
        <f>l1_tema</f>
        <v>Ingegneria Nucleare</v>
      </c>
    </row>
    <row r="17" spans="1:4" ht="15" customHeight="1" x14ac:dyDescent="0.35">
      <c r="A17" s="11" t="s">
        <v>437</v>
      </c>
      <c r="B17" s="5"/>
      <c r="C17" s="6" t="s">
        <v>364</v>
      </c>
      <c r="D17" s="12">
        <f>l2_tema</f>
        <v>0</v>
      </c>
    </row>
    <row r="18" spans="1:4" ht="15" customHeight="1" x14ac:dyDescent="0.35">
      <c r="A18" s="11" t="s">
        <v>438</v>
      </c>
      <c r="B18" s="5"/>
      <c r="C18" s="6" t="s">
        <v>365</v>
      </c>
      <c r="D18" s="12" t="str">
        <f>dot_tema</f>
        <v>Ingegneria Elettrochimica</v>
      </c>
    </row>
    <row r="19" spans="1:4" ht="15" customHeight="1" x14ac:dyDescent="0.35">
      <c r="A19" s="11" t="s">
        <v>439</v>
      </c>
      <c r="B19" s="5"/>
      <c r="C19" s="6" t="s">
        <v>366</v>
      </c>
      <c r="D19" s="12">
        <f>m2l_tema</f>
        <v>0</v>
      </c>
    </row>
    <row r="20" spans="1:4" ht="15" customHeight="1" x14ac:dyDescent="0.35">
      <c r="A20" s="11"/>
      <c r="B20" s="5"/>
      <c r="C20" s="5"/>
      <c r="D20" s="5"/>
    </row>
    <row r="21" spans="1:4" ht="45" customHeight="1" x14ac:dyDescent="0.35">
      <c r="A21" s="11"/>
      <c r="B21" s="5"/>
      <c r="C21" s="35" t="s">
        <v>431</v>
      </c>
      <c r="D21" s="35"/>
    </row>
    <row r="22" spans="1:4" ht="262.5" customHeight="1" x14ac:dyDescent="0.35">
      <c r="A22" s="16" t="s">
        <v>440</v>
      </c>
      <c r="B22" s="5"/>
      <c r="C22" s="27" t="s">
        <v>429</v>
      </c>
      <c r="D22" s="14" t="s">
        <v>739</v>
      </c>
    </row>
    <row r="23" spans="1:4" ht="15" customHeight="1" x14ac:dyDescent="0.35">
      <c r="A23" s="11"/>
      <c r="B23" s="5"/>
      <c r="C23" s="5"/>
      <c r="D23" s="5"/>
    </row>
    <row r="24" spans="1:4" ht="15" customHeight="1" x14ac:dyDescent="0.35">
      <c r="A24" s="11" t="s">
        <v>441</v>
      </c>
      <c r="B24" s="5"/>
      <c r="C24" s="6" t="s">
        <v>367</v>
      </c>
      <c r="D24" s="12" t="str">
        <f>ep1_denominazione</f>
        <v>Studio dott. ing. Claudio D. Brugnoni</v>
      </c>
    </row>
    <row r="25" spans="1:4" ht="15" customHeight="1" x14ac:dyDescent="0.35">
      <c r="A25" s="11" t="s">
        <v>442</v>
      </c>
      <c r="B25" s="5"/>
      <c r="C25" s="6" t="s">
        <v>368</v>
      </c>
      <c r="D25" s="12" t="str">
        <f>ep2_denominazione</f>
        <v>Polo Scientifico Tecnologico Lombardo S.p.A.</v>
      </c>
    </row>
    <row r="26" spans="1:4" ht="15" customHeight="1" x14ac:dyDescent="0.35">
      <c r="A26" s="11" t="s">
        <v>443</v>
      </c>
      <c r="B26" s="5"/>
      <c r="C26" s="6" t="s">
        <v>369</v>
      </c>
      <c r="D26" s="12" t="str">
        <f>ep3_denominazione</f>
        <v>J.R.C. - European Commission</v>
      </c>
    </row>
    <row r="27" spans="1:4" ht="15" customHeight="1" x14ac:dyDescent="0.35">
      <c r="A27" s="11" t="s">
        <v>444</v>
      </c>
      <c r="B27" s="5"/>
      <c r="C27" s="6" t="s">
        <v>370</v>
      </c>
      <c r="D27" s="12" t="str">
        <f>ep4_denominazione</f>
        <v>J.R.C. - European Commission</v>
      </c>
    </row>
    <row r="28" spans="1:4" ht="15" customHeight="1" x14ac:dyDescent="0.35">
      <c r="A28" s="11" t="s">
        <v>445</v>
      </c>
      <c r="B28" s="5"/>
      <c r="C28" s="6" t="s">
        <v>371</v>
      </c>
      <c r="D28" s="12" t="str">
        <f>ep5_denominazione</f>
        <v>Comune di Gavirate</v>
      </c>
    </row>
    <row r="29" spans="1:4" ht="15" customHeight="1" x14ac:dyDescent="0.35">
      <c r="A29" s="11" t="s">
        <v>446</v>
      </c>
      <c r="B29" s="5"/>
      <c r="C29" s="6" t="s">
        <v>372</v>
      </c>
      <c r="D29" s="12" t="str">
        <f>ep6_denominazione</f>
        <v>Regione Lombardia</v>
      </c>
    </row>
    <row r="30" spans="1:4" ht="15" customHeight="1" x14ac:dyDescent="0.35">
      <c r="A30" s="11" t="s">
        <v>447</v>
      </c>
      <c r="B30" s="5"/>
      <c r="C30" s="6" t="s">
        <v>373</v>
      </c>
      <c r="D30" s="12">
        <f>ep7_denominazione</f>
        <v>0</v>
      </c>
    </row>
    <row r="31" spans="1:4" ht="15" customHeight="1" x14ac:dyDescent="0.35">
      <c r="A31" s="11" t="s">
        <v>448</v>
      </c>
      <c r="B31" s="5"/>
      <c r="C31" s="6" t="s">
        <v>374</v>
      </c>
      <c r="D31" s="12">
        <f>ep8_denominazione</f>
        <v>0</v>
      </c>
    </row>
    <row r="32" spans="1:4" ht="15" customHeight="1" x14ac:dyDescent="0.35">
      <c r="A32" s="11" t="s">
        <v>449</v>
      </c>
      <c r="B32" s="5"/>
      <c r="C32" s="6" t="s">
        <v>375</v>
      </c>
      <c r="D32" s="12">
        <f>ep9_denominazione</f>
        <v>0</v>
      </c>
    </row>
    <row r="33" spans="1:4" ht="15" customHeight="1" x14ac:dyDescent="0.35">
      <c r="A33" s="11" t="s">
        <v>450</v>
      </c>
      <c r="B33" s="5"/>
      <c r="C33" s="6" t="s">
        <v>211</v>
      </c>
      <c r="D33" s="12">
        <f>ep10_denominazione</f>
        <v>0</v>
      </c>
    </row>
    <row r="34" spans="1:4" ht="45" customHeight="1" x14ac:dyDescent="0.35">
      <c r="A34" s="11"/>
      <c r="B34" s="5"/>
      <c r="C34" s="35" t="s">
        <v>481</v>
      </c>
      <c r="D34" s="35"/>
    </row>
    <row r="35" spans="1:4" ht="262.5" customHeight="1" x14ac:dyDescent="0.35">
      <c r="A35" s="16" t="s">
        <v>451</v>
      </c>
      <c r="B35" s="5"/>
      <c r="C35" s="27" t="s">
        <v>430</v>
      </c>
      <c r="D35" s="14" t="s">
        <v>739</v>
      </c>
    </row>
    <row r="36" spans="1:4" ht="15" customHeight="1" x14ac:dyDescent="0.35">
      <c r="A36" s="11"/>
      <c r="B36" s="5"/>
      <c r="C36" s="5"/>
      <c r="D36" s="5"/>
    </row>
    <row r="37" spans="1:4" ht="20" x14ac:dyDescent="0.35">
      <c r="A37" s="11"/>
      <c r="B37" s="5"/>
      <c r="C37" s="31" t="s">
        <v>480</v>
      </c>
      <c r="D37" s="31"/>
    </row>
    <row r="38" spans="1:4" ht="15" customHeight="1" x14ac:dyDescent="0.35">
      <c r="A38" s="11"/>
      <c r="B38" s="5"/>
      <c r="C38" s="5"/>
      <c r="D38" s="5"/>
    </row>
    <row r="39" spans="1:4" ht="15" customHeight="1" x14ac:dyDescent="0.35">
      <c r="A39" s="11" t="s">
        <v>452</v>
      </c>
      <c r="B39" s="5"/>
      <c r="C39" s="6" t="s">
        <v>354</v>
      </c>
      <c r="D39" s="12" t="str">
        <f>spec_secondaria</f>
        <v>MANIFATTURIERO_AVANZATO</v>
      </c>
    </row>
    <row r="40" spans="1:4" ht="15" customHeight="1" x14ac:dyDescent="0.35">
      <c r="A40" s="11" t="s">
        <v>453</v>
      </c>
      <c r="B40" s="5"/>
      <c r="C40" s="6" t="s">
        <v>357</v>
      </c>
      <c r="D40" s="12" t="str">
        <f>ads2_principale</f>
        <v>MA1 Produzione con processi innovativi</v>
      </c>
    </row>
    <row r="41" spans="1:4" ht="15" customHeight="1" x14ac:dyDescent="0.35">
      <c r="A41" s="11" t="s">
        <v>454</v>
      </c>
      <c r="B41" s="5"/>
      <c r="C41" s="6" t="s">
        <v>358</v>
      </c>
      <c r="D41" s="12" t="str">
        <f>ads2_secondaria</f>
        <v>MA2 Sistemi di produzione evolutivi e adattativi</v>
      </c>
    </row>
    <row r="42" spans="1:4" ht="15" customHeight="1" x14ac:dyDescent="0.35">
      <c r="A42" s="11" t="s">
        <v>455</v>
      </c>
      <c r="B42" s="5"/>
      <c r="C42" s="6" t="s">
        <v>475</v>
      </c>
      <c r="D42" s="12" t="str">
        <f>ads2_terziaria</f>
        <v>MA5 Sistemi manifatturieri per la sostenibilità ambientale</v>
      </c>
    </row>
    <row r="43" spans="1:4" ht="15" customHeight="1" x14ac:dyDescent="0.35">
      <c r="A43" s="11"/>
      <c r="B43" s="5"/>
      <c r="C43" s="5"/>
      <c r="D43" s="5"/>
    </row>
    <row r="44" spans="1:4" ht="15" customHeight="1" x14ac:dyDescent="0.35">
      <c r="A44" s="11" t="s">
        <v>456</v>
      </c>
      <c r="B44" s="5"/>
      <c r="C44" s="6" t="s">
        <v>363</v>
      </c>
      <c r="D44" s="12" t="str">
        <f>l1_tema</f>
        <v>Ingegneria Nucleare</v>
      </c>
    </row>
    <row r="45" spans="1:4" ht="15" customHeight="1" x14ac:dyDescent="0.35">
      <c r="A45" s="11" t="s">
        <v>457</v>
      </c>
      <c r="B45" s="5"/>
      <c r="C45" s="6" t="s">
        <v>364</v>
      </c>
      <c r="D45" s="12">
        <f>l2_tema</f>
        <v>0</v>
      </c>
    </row>
    <row r="46" spans="1:4" ht="15" customHeight="1" x14ac:dyDescent="0.35">
      <c r="A46" s="11" t="s">
        <v>458</v>
      </c>
      <c r="B46" s="5"/>
      <c r="C46" s="6" t="s">
        <v>365</v>
      </c>
      <c r="D46" s="12" t="str">
        <f>dot_tema</f>
        <v>Ingegneria Elettrochimica</v>
      </c>
    </row>
    <row r="47" spans="1:4" ht="15" customHeight="1" x14ac:dyDescent="0.35">
      <c r="A47" s="11" t="s">
        <v>459</v>
      </c>
      <c r="B47" s="5"/>
      <c r="C47" s="6" t="s">
        <v>366</v>
      </c>
      <c r="D47" s="12">
        <f>m2l_tema</f>
        <v>0</v>
      </c>
    </row>
    <row r="48" spans="1:4" ht="15" customHeight="1" x14ac:dyDescent="0.35">
      <c r="A48" s="11"/>
      <c r="B48" s="5"/>
      <c r="C48" s="5"/>
      <c r="D48" s="5"/>
    </row>
    <row r="49" spans="1:4" ht="60" customHeight="1" x14ac:dyDescent="0.35">
      <c r="A49" s="11"/>
      <c r="B49" s="5"/>
      <c r="C49" s="35" t="s">
        <v>482</v>
      </c>
      <c r="D49" s="35"/>
    </row>
    <row r="50" spans="1:4" ht="262.5" customHeight="1" x14ac:dyDescent="0.35">
      <c r="A50" s="16" t="s">
        <v>460</v>
      </c>
      <c r="B50" s="5"/>
      <c r="C50" s="27" t="s">
        <v>429</v>
      </c>
      <c r="D50" s="15" t="s">
        <v>740</v>
      </c>
    </row>
    <row r="51" spans="1:4" ht="15" customHeight="1" x14ac:dyDescent="0.35">
      <c r="A51" s="11"/>
      <c r="B51" s="5"/>
      <c r="C51" s="5"/>
      <c r="D51" s="5"/>
    </row>
    <row r="52" spans="1:4" ht="15" customHeight="1" x14ac:dyDescent="0.35">
      <c r="A52" s="11" t="s">
        <v>461</v>
      </c>
      <c r="B52" s="5"/>
      <c r="C52" s="6" t="s">
        <v>367</v>
      </c>
      <c r="D52" s="12" t="str">
        <f>ep1_denominazione</f>
        <v>Studio dott. ing. Claudio D. Brugnoni</v>
      </c>
    </row>
    <row r="53" spans="1:4" ht="15" customHeight="1" x14ac:dyDescent="0.35">
      <c r="A53" s="11" t="s">
        <v>462</v>
      </c>
      <c r="B53" s="5"/>
      <c r="C53" s="6" t="s">
        <v>368</v>
      </c>
      <c r="D53" s="12" t="str">
        <f>ep2_denominazione</f>
        <v>Polo Scientifico Tecnologico Lombardo S.p.A.</v>
      </c>
    </row>
    <row r="54" spans="1:4" ht="15" customHeight="1" x14ac:dyDescent="0.35">
      <c r="A54" s="11" t="s">
        <v>463</v>
      </c>
      <c r="B54" s="5"/>
      <c r="C54" s="6" t="s">
        <v>369</v>
      </c>
      <c r="D54" s="12" t="str">
        <f>ep3_denominazione</f>
        <v>J.R.C. - European Commission</v>
      </c>
    </row>
    <row r="55" spans="1:4" ht="15" customHeight="1" x14ac:dyDescent="0.35">
      <c r="A55" s="11" t="s">
        <v>464</v>
      </c>
      <c r="B55" s="5"/>
      <c r="C55" s="6" t="s">
        <v>370</v>
      </c>
      <c r="D55" s="12" t="str">
        <f>ep4_denominazione</f>
        <v>J.R.C. - European Commission</v>
      </c>
    </row>
    <row r="56" spans="1:4" ht="15" customHeight="1" x14ac:dyDescent="0.35">
      <c r="A56" s="11" t="s">
        <v>465</v>
      </c>
      <c r="B56" s="5"/>
      <c r="C56" s="6" t="s">
        <v>371</v>
      </c>
      <c r="D56" s="12" t="str">
        <f>ep5_denominazione</f>
        <v>Comune di Gavirate</v>
      </c>
    </row>
    <row r="57" spans="1:4" ht="15" customHeight="1" x14ac:dyDescent="0.35">
      <c r="A57" s="11" t="s">
        <v>466</v>
      </c>
      <c r="B57" s="5"/>
      <c r="C57" s="6" t="s">
        <v>372</v>
      </c>
      <c r="D57" s="12" t="str">
        <f>ep6_denominazione</f>
        <v>Regione Lombardia</v>
      </c>
    </row>
    <row r="58" spans="1:4" ht="15" customHeight="1" x14ac:dyDescent="0.35">
      <c r="A58" s="11" t="s">
        <v>467</v>
      </c>
      <c r="B58" s="5"/>
      <c r="C58" s="6" t="s">
        <v>373</v>
      </c>
      <c r="D58" s="12">
        <f>ep7_denominazione</f>
        <v>0</v>
      </c>
    </row>
    <row r="59" spans="1:4" ht="15" customHeight="1" x14ac:dyDescent="0.35">
      <c r="A59" s="11" t="s">
        <v>468</v>
      </c>
      <c r="B59" s="5"/>
      <c r="C59" s="6" t="s">
        <v>374</v>
      </c>
      <c r="D59" s="12">
        <f>ep8_denominazione</f>
        <v>0</v>
      </c>
    </row>
    <row r="60" spans="1:4" ht="15" customHeight="1" x14ac:dyDescent="0.35">
      <c r="A60" s="11" t="s">
        <v>469</v>
      </c>
      <c r="B60" s="5"/>
      <c r="C60" s="6" t="s">
        <v>375</v>
      </c>
      <c r="D60" s="12">
        <f>ep9_denominazione</f>
        <v>0</v>
      </c>
    </row>
    <row r="61" spans="1:4" ht="15" customHeight="1" x14ac:dyDescent="0.35">
      <c r="A61" s="11" t="s">
        <v>470</v>
      </c>
      <c r="B61" s="5"/>
      <c r="C61" s="6" t="s">
        <v>211</v>
      </c>
      <c r="D61" s="12">
        <f>ep10_denominazione</f>
        <v>0</v>
      </c>
    </row>
    <row r="62" spans="1:4" ht="15" customHeight="1" x14ac:dyDescent="0.35">
      <c r="A62" s="11"/>
      <c r="B62" s="5"/>
      <c r="C62" s="5"/>
      <c r="D62" s="5"/>
    </row>
    <row r="63" spans="1:4" ht="60" customHeight="1" x14ac:dyDescent="0.35">
      <c r="A63" s="11"/>
      <c r="B63" s="5"/>
      <c r="C63" s="35" t="s">
        <v>483</v>
      </c>
      <c r="D63" s="35"/>
    </row>
    <row r="64" spans="1:4" ht="262.5" customHeight="1" x14ac:dyDescent="0.35">
      <c r="A64" s="16" t="s">
        <v>471</v>
      </c>
      <c r="B64" s="5"/>
      <c r="C64" s="27" t="s">
        <v>430</v>
      </c>
      <c r="D64" s="15" t="s">
        <v>741</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453125" style="1" bestFit="1" customWidth="1"/>
    <col min="3" max="3" width="6.36328125" style="1" bestFit="1" customWidth="1"/>
    <col min="4" max="4" width="26" style="1" bestFit="1" customWidth="1"/>
    <col min="5" max="5" width="18.6328125" style="1" bestFit="1" customWidth="1"/>
    <col min="6" max="6" width="40.6328125" style="1" bestFit="1" customWidth="1"/>
    <col min="7" max="7" width="47.453125" style="1" bestFit="1" customWidth="1"/>
    <col min="8" max="16384" width="9.17968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669</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676</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666</v>
      </c>
    </row>
    <row r="59" spans="2:2" ht="15" customHeight="1" x14ac:dyDescent="0.35">
      <c r="B59" s="24" t="s">
        <v>667</v>
      </c>
    </row>
    <row r="60" spans="2:2" ht="15" customHeight="1" x14ac:dyDescent="0.35">
      <c r="B60" s="24" t="s">
        <v>668</v>
      </c>
    </row>
    <row r="61" spans="2:2" ht="15" customHeight="1" x14ac:dyDescent="0.35">
      <c r="B61" s="24" t="s">
        <v>662</v>
      </c>
    </row>
    <row r="62" spans="2:2" ht="15" customHeight="1" x14ac:dyDescent="0.35">
      <c r="B62" s="24" t="s">
        <v>659</v>
      </c>
    </row>
    <row r="63" spans="2:2" ht="15" customHeight="1" x14ac:dyDescent="0.35">
      <c r="B63" s="24" t="s">
        <v>664</v>
      </c>
    </row>
    <row r="64" spans="2:2" ht="15" customHeight="1" x14ac:dyDescent="0.35">
      <c r="B64" s="24" t="s">
        <v>663</v>
      </c>
    </row>
    <row r="65" spans="2:2" ht="15" customHeight="1" x14ac:dyDescent="0.35">
      <c r="B65" s="24" t="s">
        <v>665</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36328125" style="24" bestFit="1" customWidth="1"/>
    <col min="2" max="2" width="9.6328125" style="24" bestFit="1" customWidth="1"/>
    <col min="3" max="3" width="6.36328125" style="24" bestFit="1" customWidth="1"/>
    <col min="4" max="4" width="15.1796875" style="24" bestFit="1" customWidth="1"/>
    <col min="5" max="5" width="18.1796875" style="24" bestFit="1" customWidth="1"/>
    <col min="6" max="6" width="19.1796875" style="24" bestFit="1" customWidth="1"/>
    <col min="7" max="7" width="14.453125" style="24" bestFit="1" customWidth="1"/>
    <col min="8" max="8" width="20.81640625" style="24" bestFit="1" customWidth="1"/>
    <col min="9" max="9" width="16.6328125" style="24" bestFit="1" customWidth="1"/>
    <col min="10" max="10" width="20.453125" style="24" bestFit="1" customWidth="1"/>
    <col min="11" max="11" width="21.6328125" style="24" bestFit="1" customWidth="1"/>
    <col min="12" max="12" width="20.453125" style="24" bestFit="1" customWidth="1"/>
    <col min="13" max="13" width="16.36328125" style="24" bestFit="1" customWidth="1"/>
    <col min="14" max="14" width="20.1796875" style="24" bestFit="1" customWidth="1"/>
    <col min="15" max="15" width="21.1796875" style="24" bestFit="1" customWidth="1"/>
    <col min="16" max="16" width="23.6328125" style="24" bestFit="1" customWidth="1"/>
    <col min="17" max="17" width="10.6328125" style="24" bestFit="1" customWidth="1"/>
    <col min="18" max="18" width="21.6328125" style="24" bestFit="1" customWidth="1"/>
    <col min="19" max="19" width="9" style="24" bestFit="1" customWidth="1"/>
    <col min="20" max="20" width="9.36328125" style="24" bestFit="1" customWidth="1"/>
    <col min="21" max="21" width="4.453125" style="24" bestFit="1" customWidth="1"/>
    <col min="22" max="22" width="6.6328125" style="24" bestFit="1" customWidth="1"/>
    <col min="23" max="23" width="4.6328125" style="24" bestFit="1" customWidth="1"/>
    <col min="24" max="24" width="13.81640625" style="24" bestFit="1" customWidth="1"/>
    <col min="25" max="25" width="23" style="24" bestFit="1" customWidth="1"/>
    <col min="26" max="26" width="12.36328125" style="24" bestFit="1" customWidth="1"/>
    <col min="27" max="27" width="23" style="24" bestFit="1" customWidth="1"/>
    <col min="28" max="28" width="12.36328125" style="24" bestFit="1" customWidth="1"/>
    <col min="29" max="29" width="23" style="24" bestFit="1" customWidth="1"/>
    <col min="30" max="30" width="12.36328125" style="24" bestFit="1" customWidth="1"/>
    <col min="31" max="31" width="27.1796875" style="24" bestFit="1" customWidth="1"/>
    <col min="32" max="32" width="26.36328125" style="24" bestFit="1" customWidth="1"/>
    <col min="33" max="33" width="27.1796875" style="24" bestFit="1" customWidth="1"/>
    <col min="34" max="34" width="24.453125" style="24" bestFit="1" customWidth="1"/>
    <col min="35" max="35" width="28" style="24" bestFit="1" customWidth="1"/>
    <col min="36" max="36" width="26.36328125" style="24" bestFit="1" customWidth="1"/>
    <col min="37" max="37" width="27.1796875" style="24" bestFit="1" customWidth="1"/>
    <col min="38" max="38" width="24.453125" style="24" bestFit="1" customWidth="1"/>
    <col min="39" max="39" width="18.1796875" style="24" bestFit="1" customWidth="1"/>
    <col min="40" max="40" width="16.36328125" style="24" bestFit="1" customWidth="1"/>
    <col min="41" max="41" width="21.453125" style="24" bestFit="1" customWidth="1"/>
    <col min="42" max="42" width="13.453125" style="24" bestFit="1" customWidth="1"/>
    <col min="43" max="43" width="21.81640625" style="24" bestFit="1" customWidth="1"/>
    <col min="44" max="44" width="22.453125" style="24" bestFit="1" customWidth="1"/>
    <col min="45" max="45" width="32.63281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36328125" style="24" bestFit="1" customWidth="1"/>
    <col min="51" max="51" width="21.453125" style="24" bestFit="1" customWidth="1"/>
    <col min="52" max="52" width="13.453125" style="24" bestFit="1" customWidth="1"/>
    <col min="53" max="53" width="21.81640625" style="24" bestFit="1" customWidth="1"/>
    <col min="54" max="54" width="22.453125" style="24" bestFit="1" customWidth="1"/>
    <col min="55" max="55" width="32.63281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453125" style="24" bestFit="1" customWidth="1"/>
    <col min="62" max="62" width="20.81640625" style="24" bestFit="1" customWidth="1"/>
    <col min="63" max="63" width="21.453125" style="24" bestFit="1" customWidth="1"/>
    <col min="64" max="64" width="15.36328125" style="24" bestFit="1" customWidth="1"/>
    <col min="65" max="65" width="20.6328125" style="24" bestFit="1" customWidth="1"/>
    <col min="66" max="66" width="12.81640625" style="24" bestFit="1" customWidth="1"/>
    <col min="67" max="67" width="21.1796875" style="24" bestFit="1" customWidth="1"/>
    <col min="68" max="68" width="21.81640625" style="24" bestFit="1" customWidth="1"/>
    <col min="69" max="69" width="30.63281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36328125" style="24" bestFit="1" customWidth="1"/>
    <col min="78" max="78" width="35.36328125" style="24" bestFit="1" customWidth="1"/>
    <col min="79" max="79" width="28.6328125" style="24" bestFit="1" customWidth="1"/>
    <col min="80" max="80" width="30.63281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36328125" style="24" bestFit="1" customWidth="1"/>
    <col min="89" max="89" width="35.36328125" style="24" bestFit="1" customWidth="1"/>
    <col min="90" max="90" width="28.6328125" style="24" bestFit="1" customWidth="1"/>
    <col min="91" max="91" width="30.63281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36328125" style="24" bestFit="1" customWidth="1"/>
    <col min="100" max="100" width="35.36328125" style="24" bestFit="1" customWidth="1"/>
    <col min="101" max="101" width="28.6328125" style="24" bestFit="1" customWidth="1"/>
    <col min="102" max="102" width="30.63281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36328125" style="24" bestFit="1" customWidth="1"/>
    <col min="111" max="111" width="35.36328125" style="24" bestFit="1" customWidth="1"/>
    <col min="112" max="112" width="28.6328125" style="24" bestFit="1" customWidth="1"/>
    <col min="113" max="113" width="30.63281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36328125" style="24" bestFit="1" customWidth="1"/>
    <col min="122" max="122" width="35.36328125" style="24" bestFit="1" customWidth="1"/>
    <col min="123" max="123" width="28.6328125" style="24" bestFit="1" customWidth="1"/>
    <col min="124" max="124" width="30.63281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36328125" style="24" bestFit="1" customWidth="1"/>
    <col min="133" max="133" width="35.36328125" style="24" bestFit="1" customWidth="1"/>
    <col min="134" max="134" width="28.6328125" style="24" bestFit="1" customWidth="1"/>
    <col min="135" max="135" width="30.63281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36328125" style="24" bestFit="1" customWidth="1"/>
    <col min="144" max="144" width="35.36328125" style="24" bestFit="1" customWidth="1"/>
    <col min="145" max="145" width="28.6328125" style="24" bestFit="1" customWidth="1"/>
    <col min="146" max="146" width="30.63281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36328125" style="24" bestFit="1" customWidth="1"/>
    <col min="155" max="155" width="35.36328125" style="24" bestFit="1" customWidth="1"/>
    <col min="156" max="156" width="28.6328125" style="24" bestFit="1" customWidth="1"/>
    <col min="157" max="157" width="30.63281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36328125" style="24" bestFit="1" customWidth="1"/>
    <col min="166" max="166" width="35.36328125" style="24" bestFit="1" customWidth="1"/>
    <col min="167" max="167" width="28.6328125" style="24" bestFit="1" customWidth="1"/>
    <col min="168" max="168" width="31.63281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36328125" style="24" bestFit="1" customWidth="1"/>
    <col min="178" max="178" width="29.81640625" style="24" bestFit="1" customWidth="1"/>
    <col min="179" max="179" width="20.453125" style="24" bestFit="1" customWidth="1"/>
    <col min="180" max="180" width="12.6328125" style="24" bestFit="1" customWidth="1"/>
    <col min="181" max="181" width="14.81640625" style="24" bestFit="1" customWidth="1"/>
    <col min="182" max="182" width="21.1796875" style="24" bestFit="1" customWidth="1"/>
    <col min="183" max="183" width="38.36328125" style="24" bestFit="1" customWidth="1"/>
    <col min="184" max="184" width="11" style="24" bestFit="1" customWidth="1"/>
    <col min="185" max="185" width="31.36328125" style="24" bestFit="1" customWidth="1"/>
    <col min="186" max="186" width="44" style="24" bestFit="1" customWidth="1"/>
    <col min="187" max="187" width="20.453125" style="24" bestFit="1" customWidth="1"/>
    <col min="188" max="188" width="12.6328125" style="24" bestFit="1" customWidth="1"/>
    <col min="189" max="189" width="14.81640625" style="24" bestFit="1" customWidth="1"/>
    <col min="190" max="190" width="21.1796875" style="24" bestFit="1" customWidth="1"/>
    <col min="191" max="191" width="38.36328125" style="24" bestFit="1" customWidth="1"/>
    <col min="192" max="192" width="11" style="24" bestFit="1" customWidth="1"/>
    <col min="193" max="193" width="31.36328125" style="24" bestFit="1" customWidth="1"/>
    <col min="194" max="194" width="44" style="24" bestFit="1" customWidth="1"/>
    <col min="195" max="195" width="20.453125" style="24" bestFit="1" customWidth="1"/>
    <col min="196" max="196" width="12.6328125" style="24" bestFit="1" customWidth="1"/>
    <col min="197" max="197" width="14.81640625" style="24" bestFit="1" customWidth="1"/>
    <col min="198" max="198" width="21.1796875" style="24" bestFit="1" customWidth="1"/>
    <col min="199" max="199" width="38.36328125" style="24" bestFit="1" customWidth="1"/>
    <col min="200" max="200" width="11" style="24" bestFit="1" customWidth="1"/>
    <col min="201" max="201" width="31.36328125" style="24" bestFit="1" customWidth="1"/>
    <col min="202" max="202" width="44" style="24" bestFit="1" customWidth="1"/>
    <col min="203" max="203" width="33.453125" style="24" bestFit="1" customWidth="1"/>
    <col min="204" max="204" width="40.6328125" style="24" bestFit="1" customWidth="1"/>
    <col min="205" max="205" width="33.453125" style="24" bestFit="1" customWidth="1"/>
    <col min="206" max="206" width="40.63281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Claudio Daniele</v>
      </c>
      <c r="B2" s="24" t="str">
        <f>cognome</f>
        <v>Brugnoni</v>
      </c>
      <c r="C2" s="24" t="str">
        <f>sesso</f>
        <v>M</v>
      </c>
      <c r="D2" s="24" t="str">
        <f>stato_nascita</f>
        <v>Italia</v>
      </c>
      <c r="E2" s="24" t="str">
        <f>comune_nascita</f>
        <v>Gavirate</v>
      </c>
      <c r="F2" s="24" t="str">
        <f>provincia_nascita</f>
        <v>VA</v>
      </c>
      <c r="G2" s="24" t="str">
        <f>data_nascita</f>
        <v>1967</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f>partita_iva</f>
        <v>0</v>
      </c>
      <c r="R2" s="24">
        <f>intestatario_partita_iva</f>
        <v>0</v>
      </c>
      <c r="S2" s="24">
        <f>telefono</f>
        <v>0</v>
      </c>
      <c r="T2" s="24">
        <f>cellulare</f>
        <v>0</v>
      </c>
      <c r="U2" s="24">
        <f>fax</f>
        <v>0</v>
      </c>
      <c r="V2" s="24">
        <f>email</f>
        <v>0</v>
      </c>
      <c r="W2" s="24">
        <f>pec</f>
        <v>0</v>
      </c>
      <c r="X2" s="24" t="str">
        <f>lingua_madre</f>
        <v>Italiano</v>
      </c>
      <c r="Y2" s="24" t="str">
        <f>lingua1</f>
        <v>Inglese</v>
      </c>
      <c r="Z2" s="24" t="str">
        <f>lingua1_livello</f>
        <v>7 Professionale</v>
      </c>
      <c r="AA2" s="24">
        <f>lingua2</f>
        <v>0</v>
      </c>
      <c r="AB2" s="24">
        <f>lingua2_livello</f>
        <v>0</v>
      </c>
      <c r="AC2" s="24">
        <f>lingua3</f>
        <v>0</v>
      </c>
      <c r="AD2" s="24">
        <f>lingua3_livello</f>
        <v>0</v>
      </c>
      <c r="AE2" s="24" t="str">
        <f>spec_principale</f>
        <v>TECNOLOGIE_INDUSTRIALI_ABILITANTI</v>
      </c>
      <c r="AF2" s="24" t="str">
        <f>ads1_principale</f>
        <v>TIA1 ICT</v>
      </c>
      <c r="AG2" s="24" t="str">
        <f>ads1_secondaria</f>
        <v>TIA4 Materiali avanzati</v>
      </c>
      <c r="AH2" s="24" t="str">
        <f>ads1_terziaria</f>
        <v>TIA8 Tecnologie di produzione avanzata</v>
      </c>
      <c r="AI2" s="24" t="str">
        <f>spec_secondaria</f>
        <v>MANIFATTURIERO_AVANZATO</v>
      </c>
      <c r="AJ2" s="24" t="str">
        <f>ads2_principale</f>
        <v>MA1 Produzione con processi innovativi</v>
      </c>
      <c r="AK2" s="24" t="str">
        <f>ads2_secondaria</f>
        <v>MA2 Sistemi di produzione evolutivi e adattativi</v>
      </c>
      <c r="AL2" s="24" t="str">
        <f>ads2_terziaria</f>
        <v>MA5 Sistemi manifatturieri per la sostenibilità ambientale</v>
      </c>
      <c r="AM2" s="24" t="str">
        <f>l1_tipo</f>
        <v>Vecchio ordinamento</v>
      </c>
      <c r="AN2" s="24" t="str">
        <f>l1_tema</f>
        <v>Ingegneria Nucleare</v>
      </c>
      <c r="AO2" s="24" t="str">
        <f>l1_anno</f>
        <v>1986</v>
      </c>
      <c r="AP2" s="24" t="str">
        <f>l1_presso</f>
        <v>Politecnico di Milano</v>
      </c>
      <c r="AQ2" s="24" t="str">
        <f>l1_titolo</f>
        <v>Reattivita catodo/elettrolita in Celle SOFC</v>
      </c>
      <c r="AR2" s="24" t="str">
        <f>l1_voto</f>
        <v>89/100</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t="str">
        <f>dot_tema</f>
        <v>Ingegneria Elettrochimica</v>
      </c>
      <c r="BH2" s="24" t="str">
        <f>dot_anno</f>
        <v>1993</v>
      </c>
      <c r="BI2" s="24" t="str">
        <f>dot_presso</f>
        <v>Politecnico di Milnao</v>
      </c>
      <c r="BJ2" s="24">
        <f>dot_titolo</f>
        <v>0</v>
      </c>
      <c r="BK2" s="24">
        <f>dot_voto</f>
        <v>0</v>
      </c>
      <c r="BL2" s="24">
        <f>m2l_tema</f>
        <v>0</v>
      </c>
      <c r="BM2" s="24">
        <f>m2l_anno</f>
        <v>0</v>
      </c>
      <c r="BN2" s="24">
        <f>m2l_presso</f>
        <v>0</v>
      </c>
      <c r="BO2" s="24">
        <f>m2l_titolo</f>
        <v>0</v>
      </c>
      <c r="BP2" s="24">
        <f>m2l_voto</f>
        <v>0</v>
      </c>
      <c r="BQ2" s="24" t="str">
        <f>ep1_inizio</f>
        <v>01/01/2005</v>
      </c>
      <c r="BR2" s="24" t="str">
        <f>ep1_fine</f>
        <v>In corso</v>
      </c>
      <c r="BS2" s="24" t="str">
        <f>ep1_denominazione</f>
        <v>Studio dott. ing. Claudio D. Brugnoni</v>
      </c>
      <c r="BT2" s="24" t="str">
        <f>ep1_comune</f>
        <v>Gavirate</v>
      </c>
      <c r="BU2" s="24" t="str">
        <f>ep1_provincia</f>
        <v>VA</v>
      </c>
      <c r="BV2" s="24" t="str">
        <f>ep1_dimensione</f>
        <v>1 Micro impresa (&lt; 10 dipendenti)</v>
      </c>
      <c r="BW2" s="24" t="str">
        <f>ep1_settore</f>
        <v>Consulenza in ambito innovazione e trasferimento tecnologico per PMI e Neti Pubblici</v>
      </c>
      <c r="BX2" s="24" t="str">
        <f>ep1_ambito</f>
        <v>Privato</v>
      </c>
      <c r="BY2" s="24" t="str">
        <f>ep1_rife</f>
        <v>Entrambe</v>
      </c>
      <c r="BZ2" s="24" t="str">
        <f>ep1_attivita</f>
        <v>Titolare Unico dello Studio che offre servizi di consulenza alle imprese e al territorio, in particolare per:
• L’Innovazione e il trasferimento tecnologico alle PMI
• La ricerca e la gestione tecnica di finanziamenti pubblici
• La progettazione e la gestione di reti di imprese, enti e distretti
• La gestione di progetti strategici per PMI o P.A.
• La gestione/creazione di progetti “Incubatori d’impresa”
• La creazione di Spin off o Start up
• Le applicazioni ICT per la diffusione di servizi on line nelle PMI e nelle P.A.
• La valutazione del grado di innovazione tecnologica di progetti aziendali
• La gestione della proprietà intellettuale
• I progetti di diffusione della Banda Larga ed eliminazione Digital Divide
• Lo scouting di servizi online basati su WEB 2.0 per gli Enti Locali e le Associazioni
• La gestione di sistemi aziendali (due diligence aziendale, business plan, project
management)</v>
      </c>
      <c r="CA2" s="24" t="str">
        <f>ep1_resp</f>
        <v>CEO (Chief Executive Officer) dello Studio dott. ing. Claudio D. Brugnoni</v>
      </c>
      <c r="CB2" s="24" t="str">
        <f>ep2_inizio</f>
        <v>01/07/2001</v>
      </c>
      <c r="CC2" s="24" t="str">
        <f>ep2_fine</f>
        <v>01/05/2008</v>
      </c>
      <c r="CD2" s="24" t="str">
        <f>ep2_denominazione</f>
        <v>Polo Scientifico Tecnologico Lombardo S.p.A.</v>
      </c>
      <c r="CE2" s="24" t="str">
        <f>ep2_comune</f>
        <v>Busto Arsizio</v>
      </c>
      <c r="CF2" s="24" t="str">
        <f>ep2_provincia</f>
        <v>VA</v>
      </c>
      <c r="CG2" s="24" t="str">
        <f>ep2_dimensione</f>
        <v>2 Piccola impresa (&lt; 50 dipendenti)</v>
      </c>
      <c r="CH2" s="24" t="str">
        <f>ep2_settore</f>
        <v>Servizi alle imprese</v>
      </c>
      <c r="CI2" s="24" t="str">
        <f>ep2_ambito</f>
        <v>Privato</v>
      </c>
      <c r="CJ2" s="24" t="str">
        <f>ep2_rife</f>
        <v>Entrambe</v>
      </c>
      <c r="CK2" s="24" t="str">
        <f>ep2_attivita</f>
        <v>Sviluppo e gestione progetti di sostegno all’innovazione e trasferimento tecnologico alle Piccole e Medie Imprese (PMI). I progetti sviluppati e coordinati sono di seguito riassunti:
• Studio, sviluppo e gestione del servizio RIBEM (Rete Innovazione Brevetti e Marchi) per diffondere la cultura brevettuale alle PMI cofinanziato dalla Provincia di Varese e dalla CCIAA di Varese
• Studio del digital divide informatico in provincia di Varese e modello di intervento attraverso i progetti INPROVA e INFORMA finanziati dalla Provincia di Varese e E- PMI finanziato dalla CCIAA di Varese
• Studio per l’armonizzazione delle reti internet diffuse in Provincia di Varese e di servizi innovativi per l’e-governance con realizzazione di una stazione pilota presso PSTL per la dimostrazione dei servizi fruibili attraverso la banda larga
• Progetto “MINERVA” della Regione Lombardia per la sperimentazione di sistemi innovativi di finanziamento (voucher),
• Attività di ricerca/gestione finanziamenti alle PMI lombarde
• gestione delle attività collegate al progetto “Saturno” della Camera di Commercio di
Milano come responsabile del centro erogatore di servizi PSTL.
• Coordinamento progetto sull’uso delle fonti rinnovabili in Provincia di Varese e
formazione di personale idoneo allo sviluppo e gestione di tali strumenti finanziato dal Fondo Sociale Europeo.</v>
      </c>
      <c r="CL2" s="24" t="str">
        <f>ep2_resp</f>
        <v>Executive Consultant con mansioni di capo progetto e  capo comessa</v>
      </c>
      <c r="CM2" s="24" t="str">
        <f>ep3_inizio</f>
        <v>01/02/1997</v>
      </c>
      <c r="CN2" s="24" t="str">
        <f>ep3_fine</f>
        <v>01/02/2000</v>
      </c>
      <c r="CO2" s="24" t="str">
        <f>ep3_denominazione</f>
        <v>J.R.C. - European Commission</v>
      </c>
      <c r="CP2" s="24" t="str">
        <f>ep3_comune</f>
        <v>Ispra</v>
      </c>
      <c r="CQ2" s="24" t="str">
        <f>ep3_provincia</f>
        <v>VA</v>
      </c>
      <c r="CR2" s="24" t="str">
        <f>ep3_dimensione</f>
        <v>6 Università o centro di ricerca pubblico</v>
      </c>
      <c r="CS2" s="24" t="str">
        <f>ep3_settore</f>
        <v>Ricerca e Sviluppo</v>
      </c>
      <c r="CT2" s="24" t="str">
        <f>ep3_ambito</f>
        <v>Pubblico</v>
      </c>
      <c r="CU2" s="24" t="str">
        <f>ep3_rife</f>
        <v>Entrambe</v>
      </c>
      <c r="CV2" s="24" t="str">
        <f>ep3_attivita</f>
        <v>Ricercatore presso il Laboratorio Ciclotrone dell'Istituto per la Salute e la Protezione del Consumatore del C.C.R. C.E. d’Ispra (VA).
• Sviluppo e gestione di laboratori per misure elettrochimiche di corrosione nei metalli e relative leghe.
• Introduzione di nuove tecniche d’analisi (Thin Layer Activation) nel campo della corrosione.
• Applicazione delle tecniche d’analisi elettrochimiche allo studio del rilascio di Nickel in componenti a contatto con il corpo umano in supporto alla direttiva europea 94/27/EC della Commissione Europea.
• Gestione tecnica di contratti di ricerca a livello internazionale nell’ambito dell’ECSC (industria petrolchimica).
• Gestione tecnica di progetti istituzionali del 5° Programma Quadro della Commissione Europea
• Gestione e sviluppo della rete informatica presso il Laboratorio Ciclotrone come informatic officer.
• Gestione di progetti POP con Regione ed Università della Basilicata per il training di studenti ed il trasferimento di know-how ai laboratori dell’Università ed all’indotto industriale.
• Implementazione dei sistemi di qualità TQM per i laboratori gestiti.
• Gestione di personale tecnico e studenti di varie nazionalità.</v>
      </c>
      <c r="CW2" s="24" t="str">
        <f>ep3_resp</f>
        <v>Temporay Research Manager con gestione gruppo di ricerca e informatic officer delal rete presso Ciclotrone grado A7 Commisisone Europea</v>
      </c>
      <c r="CX2" s="24" t="str">
        <f>ep4_inizio</f>
        <v>01/02/1994</v>
      </c>
      <c r="CY2" s="24" t="str">
        <f>ep4_fine</f>
        <v>01/02/1997</v>
      </c>
      <c r="CZ2" s="24" t="str">
        <f>ep4_denominazione</f>
        <v>J.R.C. - European Commission</v>
      </c>
      <c r="DA2" s="24" t="str">
        <f>ep4_comune</f>
        <v>Ispra</v>
      </c>
      <c r="DB2" s="24" t="str">
        <f>ep4_provincia</f>
        <v>VA</v>
      </c>
      <c r="DC2" s="24" t="str">
        <f>ep4_dimensione</f>
        <v>6 Università o centro di ricerca pubblico</v>
      </c>
      <c r="DD2" s="24" t="str">
        <f>ep4_settore</f>
        <v>Ricerca e Sviluppo</v>
      </c>
      <c r="DE2" s="24" t="str">
        <f>ep4_ambito</f>
        <v>Pubblico</v>
      </c>
      <c r="DF2" s="24" t="str">
        <f>ep4_rife</f>
        <v>Entrambe</v>
      </c>
      <c r="DG2" s="24" t="str">
        <f>ep4_attivita</f>
        <v xml:space="preserve">Svolgimento del dottorato di ricerca in ingegneria elettrochimica presso l’Istituto per i Materiali Avanzati del C.C.R. C.E. d’Ispra (VA).
o Studio del rilascio di ioni metallici da componenti industriali mediante tecniche elettrochimiche.
o Studio del rilascio di ioni metallici da componenti industriali mediante tecniche nucleari per l’analisi in tracce (Thin Layer Activation).
• Partecipazione allo sviluppo di un laboratorio per misure d’usura con Thin Layer Activation su motori a combustione interna.
</v>
      </c>
      <c r="DH2" s="24" t="str">
        <f>ep4_resp</f>
        <v>Stagiare</v>
      </c>
      <c r="DI2" s="24" t="str">
        <f>ep5_inizio</f>
        <v>01/06/2009</v>
      </c>
      <c r="DJ2" s="24" t="str">
        <f>ep5_fine</f>
        <v>28/10/2013</v>
      </c>
      <c r="DK2" s="24" t="str">
        <f>ep5_denominazione</f>
        <v>Comune di Gavirate</v>
      </c>
      <c r="DL2" s="24" t="str">
        <f>ep5_comune</f>
        <v>Gavirate</v>
      </c>
      <c r="DM2" s="24" t="str">
        <f>ep5_provincia</f>
        <v>VA</v>
      </c>
      <c r="DN2" s="24" t="str">
        <f>ep5_dimensione</f>
        <v>5 Ente pubblico</v>
      </c>
      <c r="DO2" s="24" t="str">
        <f>ep5_settore</f>
        <v>Amministrazione pubblica</v>
      </c>
      <c r="DP2" s="24" t="str">
        <f>ep5_ambito</f>
        <v>Pubblico</v>
      </c>
      <c r="DQ2" s="24" t="str">
        <f>ep5_rife</f>
        <v>Macro-area principale (MA1)</v>
      </c>
      <c r="DR2" s="24" t="str">
        <f>ep5_attivita</f>
        <v>Vicesindaco con delega al Marketing Territoriale, Attività Produttive e Artigianato, Informatizzazione e reti tecnologiche del Comune di Gavirate (VA).</v>
      </c>
      <c r="DS2" s="24" t="str">
        <f>ep5_resp</f>
        <v>Indirizzo e gestione dei progetti di informatizzazione e reti tecnologiche del Comune di Gavirate</v>
      </c>
      <c r="DT2" s="24" t="str">
        <f>ep6_inizio</f>
        <v>01/04/2010</v>
      </c>
      <c r="DU2" s="24" t="str">
        <f>ep6_fine</f>
        <v>01/02/2013</v>
      </c>
      <c r="DV2" s="24" t="str">
        <f>ep6_denominazione</f>
        <v>Regione Lombardia</v>
      </c>
      <c r="DW2" s="24" t="str">
        <f>ep6_comune</f>
        <v>Milano</v>
      </c>
      <c r="DX2" s="24" t="str">
        <f>ep6_provincia</f>
        <v>MI</v>
      </c>
      <c r="DY2" s="24" t="str">
        <f>ep6_dimensione</f>
        <v>5 Ente pubblico</v>
      </c>
      <c r="DZ2" s="24" t="str">
        <f>ep6_settore</f>
        <v>Amministrazione pubblica</v>
      </c>
      <c r="EA2" s="24" t="str">
        <f>ep6_ambito</f>
        <v>Pubblico</v>
      </c>
      <c r="EB2" s="24" t="str">
        <f>ep6_rife</f>
        <v>Entrambe</v>
      </c>
      <c r="EC2" s="24" t="str">
        <f>ep6_attivita</f>
        <v>IX legislatura Regione Lombardia: Componente dei Comitati Tecnici Scientifici della Regione Lombardia, settore competitività a supporto delle Politiche della Presidenza e della Giunta Regionale</v>
      </c>
      <c r="ED2" s="24" t="str">
        <f>ep6_resp</f>
        <v>Assistenza alla Giuntae alle DG per le tematiche di competività, membro del comitato tecnico Quaestio</v>
      </c>
      <c r="EE2" s="24" t="str">
        <f>ep7_inizio</f>
        <v>gg/mm/aaaa</v>
      </c>
      <c r="EF2" s="24" t="str">
        <f>ep7_fine</f>
        <v>gg/mm/aaaa</v>
      </c>
      <c r="EG2" s="24">
        <f>ep7_denominazione</f>
        <v>0</v>
      </c>
      <c r="EH2" s="24">
        <f>ep7_comune</f>
        <v>0</v>
      </c>
      <c r="EI2" s="24">
        <f>ep7_provincia</f>
        <v>0</v>
      </c>
      <c r="EJ2" s="24">
        <f>ep7_dimensione</f>
        <v>0</v>
      </c>
      <c r="EK2" s="24">
        <f>ep7_settore</f>
        <v>0</v>
      </c>
      <c r="EL2" s="24">
        <f>ep7_ambito</f>
        <v>0</v>
      </c>
      <c r="EM2" s="24">
        <f>ep7_rife</f>
        <v>0</v>
      </c>
      <c r="EN2" s="24">
        <f>ep7_attivita</f>
        <v>0</v>
      </c>
      <c r="EO2" s="24">
        <f>ep7_resp</f>
        <v>0</v>
      </c>
      <c r="EP2" s="24" t="str">
        <f>ep8_inizio</f>
        <v>gg/mm/aaaa</v>
      </c>
      <c r="EQ2" s="24" t="str">
        <f>ep8_fine</f>
        <v>gg/mm/aaaa</v>
      </c>
      <c r="ER2" s="24">
        <f>ep8_denominazione</f>
        <v>0</v>
      </c>
      <c r="ES2" s="24">
        <f>ep8_comune</f>
        <v>0</v>
      </c>
      <c r="ET2" s="24">
        <f>ep8_provincia</f>
        <v>0</v>
      </c>
      <c r="EU2" s="24">
        <f>ep8_dimensione</f>
        <v>0</v>
      </c>
      <c r="EV2" s="24">
        <f>ep8_settore</f>
        <v>0</v>
      </c>
      <c r="EW2" s="24">
        <f>ep8_ambito</f>
        <v>0</v>
      </c>
      <c r="EX2" s="24">
        <f>ep8_rife</f>
        <v>0</v>
      </c>
      <c r="EY2" s="24">
        <f>ep8_attivita</f>
        <v>0</v>
      </c>
      <c r="EZ2" s="24">
        <f>ep8_resp</f>
        <v>0</v>
      </c>
      <c r="FA2" s="24" t="str">
        <f>ep9_inizio</f>
        <v>gg/mm/aaaa</v>
      </c>
      <c r="FB2" s="24" t="str">
        <f>ep9_fine</f>
        <v>gg/mm/aaaa</v>
      </c>
      <c r="FC2" s="24">
        <f>ep9_denominazione</f>
        <v>0</v>
      </c>
      <c r="FD2" s="24">
        <f>ep9_comune</f>
        <v>0</v>
      </c>
      <c r="FE2" s="24">
        <f>ep9_provincia</f>
        <v>0</v>
      </c>
      <c r="FF2" s="24">
        <f>ep9_dimensione</f>
        <v>0</v>
      </c>
      <c r="FG2" s="24">
        <f>ep9_settore</f>
        <v>0</v>
      </c>
      <c r="FH2" s="24">
        <f>ep9_ambito</f>
        <v>0</v>
      </c>
      <c r="FI2" s="24">
        <f>ep9_rife</f>
        <v>0</v>
      </c>
      <c r="FJ2" s="24">
        <f>ep9_attivita</f>
        <v>0</v>
      </c>
      <c r="FK2" s="24">
        <f>ep9_resp</f>
        <v>0</v>
      </c>
      <c r="FL2" s="24" t="str">
        <f>ep10_inizio</f>
        <v>gg/mm/aaaa</v>
      </c>
      <c r="FM2" s="24" t="str">
        <f>ep10_fine</f>
        <v>gg/mm/aaaa</v>
      </c>
      <c r="FN2" s="24">
        <f>ep10_denominazione</f>
        <v>0</v>
      </c>
      <c r="FO2" s="24">
        <f>ep10_comune</f>
        <v>0</v>
      </c>
      <c r="FP2" s="24">
        <f>ep10_provincia</f>
        <v>0</v>
      </c>
      <c r="FQ2" s="24">
        <f>ep10_dimensione</f>
        <v>0</v>
      </c>
      <c r="FR2" s="24">
        <f>ep10_settore</f>
        <v>0</v>
      </c>
      <c r="FS2" s="24">
        <f>ep10_ambito</f>
        <v>0</v>
      </c>
      <c r="FT2" s="24">
        <f>ep10_rife</f>
        <v>0</v>
      </c>
      <c r="FU2" s="24">
        <f>ep10_attivita</f>
        <v>0</v>
      </c>
      <c r="FV2" s="24">
        <f>ep10_resp</f>
        <v>0</v>
      </c>
      <c r="FW2" s="24" t="str">
        <f>bando1_ente</f>
        <v>Regione Lombardia</v>
      </c>
      <c r="FX2" s="24" t="str">
        <f>bando1_ambito</f>
        <v>1 Regionale</v>
      </c>
      <c r="FY2" s="24" t="str">
        <f>bando1_tema</f>
        <v>2 Ricerca e sviluppo</v>
      </c>
      <c r="FZ2" s="24" t="str">
        <f>bando1_misura</f>
        <v>LINEA R&amp;S PER MPMI (FRIM FESR 2020) D.d.u.o. 18 dicembre 2014 - n. 12397  BURL 53 del 2014</v>
      </c>
      <c r="GA2" s="24" t="str">
        <f>bando1_descr</f>
        <v xml:space="preserve"> La Linea R&amp;S per MPMI (FRIM FESR 2020) si propone di favorire l’innovazione basata su investimenti in ricerca e sviluppo da parte delle micro, piccole e medie imprese, anche di nuova costituzione, al fine di garantire ricadute positive sul sistema competitivo e territoriale lombardo, conformemente alle finalità del fondo FRIM FESR 2020 istituito con D.G.R. n. X/2448 del 7 ottobre 2014.</v>
      </c>
      <c r="GB2" s="24" t="str">
        <f>bando1_anno</f>
        <v>2018</v>
      </c>
      <c r="GC2" s="24" t="str">
        <f>bando1_proj_val</f>
        <v>3 Da 26 a 50</v>
      </c>
      <c r="GD2" s="24" t="str">
        <f>bando1_inv_medio</f>
        <v>4 Da 500.000 a 1.000.000 Euro</v>
      </c>
      <c r="GE2" s="24" t="str">
        <f>bando2_ente</f>
        <v>ERANET European Commission</v>
      </c>
      <c r="GF2" s="24" t="str">
        <f>bando2_ambito</f>
        <v>MANUNET Call 2017</v>
      </c>
      <c r="GG2" s="24" t="str">
        <f>bando2_tema</f>
        <v>2 Ricerca industriale e sviluppo sperimentale</v>
      </c>
      <c r="GH2" s="24">
        <f>bando2_misura</f>
        <v>0</v>
      </c>
      <c r="GI2" s="24" t="str">
        <f>bando2_descr</f>
        <v>The main objective of MANUNET is to strengthen Europe’s industrial capacities and business perspectives with special focus on SMEs.The strategic objective of the MANUNET Call 2017 is to enhance the competitiveness of Europe’s Manufacturing Industry by supporting the funding of manufacturing research projects performed by enterprises and their strategic partnerships</v>
      </c>
      <c r="GJ2" s="24" t="str">
        <f>bando2_anno</f>
        <v>2017</v>
      </c>
      <c r="GK2" s="24" t="str">
        <f>bando2_proj_val</f>
        <v>1 Fino a 10</v>
      </c>
      <c r="GL2" s="24" t="str">
        <f>bando2_inv_medio</f>
        <v>4 Da 500.000 a 1.000.000 Euro</v>
      </c>
      <c r="GM2" s="24" t="str">
        <f>bando3_ente</f>
        <v>Regione Lombardia</v>
      </c>
      <c r="GN2" s="24" t="str">
        <f>bando3_ambito</f>
        <v>1 Regionale</v>
      </c>
      <c r="GO2" s="24" t="str">
        <f>bando3_tema</f>
        <v>1 Innovazione e competitività</v>
      </c>
      <c r="GP2" s="24" t="str">
        <f>bando3_misura</f>
        <v>Fondo di Rotazione per l'imprenditorialità -FESR (FRM FESR 2011) DDUO 6197 del 6 luglio 2011 BURL 28 del 2011</v>
      </c>
      <c r="GQ2" s="24" t="str">
        <f>bando3_descr</f>
        <v xml:space="preserve">Sottomisura 1 Innovazione di prodotto e di processo e sottomisura 2 Applicazione industriale di risultati della ricerca. </v>
      </c>
      <c r="GR2" s="24" t="str">
        <f>bando3_anno</f>
        <v>2011</v>
      </c>
      <c r="GS2" s="24" t="str">
        <f>bando3_proj_val</f>
        <v>5 Oltre 100</v>
      </c>
      <c r="GT2" s="24" t="str">
        <f>bando3_inv_medio</f>
        <v>4 Da 500.000 a 1.000.000 Euro</v>
      </c>
      <c r="GU2" s="24" t="str">
        <f>ads1_motivazioni_cs</f>
        <v>Da un punto di vista professionale si sono svolte attività correlate ai campi indicati fin dal 1994 durante lo stage presso il Centro Comune di Ricerca. Le attività svolte sono state direttamente collegate a progetti di ricerca avanzati su materiali con tecniche di analisi non convenzionali. Lo sbocco di questa attività durata dal 1994 al 2000 è stata una stazione di misura denominata ETLAF (electrochemical thin layer activation facility) che in modo unico la mondo combina tecniche quantitative di misura del grado di corrosione con tecniche qualitative di valutazione elettrochimica. Tutto ciò ha portato ad acquisire notevoli capacita nel campo dell’analisi materiali avanzati e nell’uso di algoritmi informatici , modelli di calcolo software dedicati. (TIA4 e TIA1). Durante quel periodo, grazi alle competenze informatiche, si è avuto l’incarico com e Informatic Officer della Commissione Europea. (TIA1). Dal 2001 ad oggi si è sviluppata ed affinata tale capacità con progetti e studi di fattibilità legati al settore del digital divide per CCIAA di Varese, dei brevetti e del grado di innovazione aziendale con progetti innovativi. (TIA1, TIA4, TIA8). L’uso di algoritmi di ricerca brevettuale è stato affinato con la creazione di un servizio innovativo denominato RIBEM. Nel corso degli anni, si è sviluppata una capacità di analisi di progetti innovativi e start up nei settori di produzione materiali, applicazioni ICT e materiali avanzati. Come dato significativo sono stati valutati per conto di Regione Lombardia circa 150 progetti di innovazione e ricerca e sviluppo. (TIA1, TIA4, TIA8). La capacità di essere sempre attento all’innovazione deriva anche dalle esperienze istituzionali in cui ho sviluppato per il territorio valutazioni sui servizi digitale per le Pubbliche Amministrazioni e servizi per il territorio premiati a SMAU come progetti ICT Innovativi. (TIA1). SI sono redatte com primo autore diverse pubblicazioni scientifiche, si è partecipato a numero si congressi nazionali  e internazionali con proprie presentazioni. Senior Consultant accreditato presso Éupolis per AMBITI TEMATICI: Commercio AMBITI TEMATICI: Industria e PMI AMBITI TEMATICI: Reti e servizi di pubblica utilità AMBITI TEMATICI: Ricerca, innovazione e trasferimento tecnologico AMBITI TEMATICI: Turismo AMBITI TRASVERSALI: Metodi, strumenti e tecniche di ricerca AMBITI TRASVERSALI: Programmazione e controllo AMBITI TRASVERSALI: Sistemi informativi 
Accreditato elenco fornitori per affiancamento aziende partecipanti a Bando Start Up e Re-Start Up. Accreditato Expert per programma Horizon 2020 e COSME</v>
      </c>
      <c r="GV2" s="24" t="str">
        <f>ads1_motivazioni_ep</f>
        <v>Da un punto di vista professionale si sono svolte attività correlate ai campi indicati fin dal 1994 durante lo stage presso il Centro Comune di Ricerca. Le attività svolte sono state direttamente collegate a progetti di ricerca avanzati su materiali con tecniche di analisi non convenzionali. Lo sbocco di questa attività durata dal 1994 al 2000 è stata una stazione di misura denominata ETLAF (electrochemical thin layer activation facility) che in modo unico la mondo combina tecniche quantitative di misura del grado di corrosione con tecniche qualitative di valutazione elettrochimica. Tutto ciò ha portato ad acquisire notevoli capacita nel campo dell’analisi materiali avanzati e nell’uso di algoritmi informatici , modelli di calcolo software dedicati. (TIA4 e TIA1). Durante quel periodo, grazi alle competenze informatiche, si è avuto l’incarico com e Informatic Officer della Commissione Europea. (TIA1). Dal 2001 ad oggi si è sviluppata ed affinata tale capacità con progetti e studi di fattibilità legati al settore del digital divide per CCIAA di Varese, dei brevetti e del grado di innovazione aziendale con progetti innovativi. (TIA1, TIA4, TIA8). L’uso di algoritmi di ricerca brevettuale è stato affinato con la creazione di un servizio innovativo denominato RIBEM. Nel corso degli anni, si è sviluppata una capacità di analisi di progetti innovativi e start up nei settori di produzione materiali, applicazioni ICT e materiali avanzati. Come dato significativo sono stati valutati per conto di Regione Lombardia circa 150 progetti di innovazione e ricerca e sviluppo. (TIA1, TIA4, TIA8). La capacità di essere sempre attento all’innovazione deriva anche dalle esperienze istituzionali in cui ho sviluppato per il territorio valutazioni sui servizi digitale per le Pubbliche Amministrazioni e servizi per il territorio premiati a SMAU come progetti ICT Innovativi. (TIA1). SI sono redatte com primo autore diverse pubblicazioni scientifiche, si è partecipato a numero si congressi nazionali  e internazionali con proprie presentazioni. Senior Consultant accreditato presso Éupolis per AMBITI TEMATICI: Commercio AMBITI TEMATICI: Industria e PMI AMBITI TEMATICI: Reti e servizi di pubblica utilità AMBITI TEMATICI: Ricerca, innovazione e trasferimento tecnologico AMBITI TEMATICI: Turismo AMBITI TRASVERSALI: Metodi, strumenti e tecniche di ricerca AMBITI TRASVERSALI: Programmazione e controllo AMBITI TRASVERSALI: Sistemi informativi 
Accreditato elenco fornitori per affiancamento aziende partecipanti a Bando Start Up e Re-Start Up. Accreditato Expert per programma Horizon 2020 e COSME</v>
      </c>
      <c r="GW2" s="24" t="str">
        <f>ads2_motivazioni_cs</f>
        <v>Il corso di laurea in ingegneria nucleare è stato svolto con l'indirizzo materiali. In questo corso si sono approfonditi aspetti relativi alla produzione di materiali speciali con processi innovativi (MA1, MA2, MA3). In particolare si è approfondito il tema di materiali speciali per applicazioni in ambito fuel cells e chimica fisica dei processi per produrre materiali avanzati. La parte di testing sui materiali ha visto la valutazione di procedure di sinterizzazione avanzate (MA1) per zirconi e suoi ossidi drogati. Queste metodologie di produzione avanzata sono divenute di interesse industriale per lo sviluppo delle attuali Fuell Cells a stato solido.(MA1, MA2, MA5). Il dottorato di ricerca ha approfondito le tematiche legate ai processi di usura e corrosione in ambito industriale, atmosferico e di ricerca biomedica e alimentare. (MA1, MA2, MA5). Le attività sono state svolte in centri di ricerca internazionali e hanno consentito di sviluppare metodi per il controllo di produzioni di materiali molto avanzate e legate all'uso di una tecnica denominata thin layer activation per il controllo dei parametri di usura e corrosione negli impianti avanzati di produzione (pipeline petrolchimiche per esempio)  (MA1, MA2, MA5). Di rilievo è lo sviluppo di una sala prova motori per il settore automotive in cui si è utilizzato per la prima volt ali metodo thin player activation pe monitorar elle prestazioni dei motori e degli oli prodotti per uso automotive. Questa esperienza di stage ha consentito lo sviluppo di capacita di analisi e progettazione di impianti complessi in ambienti safety.  (MA1, MA2, MA5). Di rilievo partecipazione a progetti europei in ambito Eocnomia Cricolare (LIfe M3p e Enter Interreg) con applicaizoni innovative in ambito rifiuti, nuove tecnologie e piattaforme di matching per il riuso degli scarti industriali.</v>
      </c>
      <c r="GX2" s="24" t="str">
        <f>ads2_motivazioni_ep</f>
        <v>Da un punto di vista professionale si sono svolte attività correlate ai campi indicati fin dal 1994 durante lo stage presso il Centro Comune di Ricerca. Le attività svolte sono state direttamente collegate a progetti di ricerca avanzati su materiali con tecniche di analisi non convenzionali. Lo sbocco di questa attività durata dal 1994 al 2000 è stata una stazione di misura denominata ETLAF (electrochemical thin layer activation facility) che in modo unico la mondo combina tecniche quantitative di misura del grado di corrosione con tecniche qualitative di valutazione elettrochimica. Questa capacità di progettare impianti radicalmente innovativi è stata premiata con diverse pubblicazioni scientifiche e progetti di ricerca istituzionali della Commissione Europea. Nel corso degli anni, si è sviluppata una capacità di analisi di progetti innovativi e start up nei settori di produzione con processi  innovati, evolutivi e ad alta efficienza.(MA1, MA2, MA5) Come dato significativo sono stati valutati per conto di Regione Lombardia circa 150 progetti di innovazione e ricerca e sviluppo. La capacità di essere sempre attento all’innovazione deriva anche dalle esperienze istituzionali in cui ho sviluppato per il territorio valutazioni su attività produttive, start up e insediamenti innnovativi. SI sono redatte com primo autore diverse pubblicazioni scientifiche, si è partecipato a numero si congressi nazionali  e internazionali con proprie presentazioni. Senior Consultant accreditato presso Éupolis per AMBITI TEMATICI: Commercio AMBITI TEMATICI: Industria e PMI AMBITI TEMATICI: Reti e servizi di pubblica utilità AMBITI TEMATICI: Ricerca, innovazione e trasferimento tecnologico AMBITI TEMATICI: Turismo AMBITI TRASVERSALI: Metodi, strumenti e tecniche di ricerca AMBITI TRASVERSALI: Programmazione e controllo AMBITI TRASVERSALI: Sistemi informativi 
Accreditato elenco fornitori per affiancamento aziende partecipanti a Bando Start Up e Re-Start Up. Accreditato Expert per programma Horizon 2020 e COSME</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Angela Punzi Regina</cp:lastModifiedBy>
  <cp:lastPrinted>2015-03-19T11:18:15Z</cp:lastPrinted>
  <dcterms:created xsi:type="dcterms:W3CDTF">2015-03-10T11:30:22Z</dcterms:created>
  <dcterms:modified xsi:type="dcterms:W3CDTF">2020-04-29T16:01:30Z</dcterms:modified>
  <cp:contentStatus>Finale</cp:contentStatus>
</cp:coreProperties>
</file>